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updateLinks="never" codeName="ThisWorkbook" autoCompressPictures="0" defaultThemeVersion="124226"/>
  <bookViews>
    <workbookView xWindow="0" yWindow="0" windowWidth="15525" windowHeight="7755" tabRatio="824" firstSheet="12" activeTab="18"/>
  </bookViews>
  <sheets>
    <sheet name="Audit" sheetId="47" state="veryHidden" r:id="rId1"/>
    <sheet name="Main Menu" sheetId="40" r:id="rId2"/>
    <sheet name="Instructions" sheetId="32" r:id="rId3"/>
    <sheet name="Transactions" sheetId="44" r:id="rId4"/>
    <sheet name="Products" sheetId="30" r:id="rId5"/>
    <sheet name="Chart of Accounts GL" sheetId="1" r:id="rId6"/>
    <sheet name="Chart of Accounts AR Ledger" sheetId="13" r:id="rId7"/>
    <sheet name="Chart of Accounts AP Ledger" sheetId="14" r:id="rId8"/>
    <sheet name="Sales Journal" sheetId="2" r:id="rId9"/>
    <sheet name="Purchases Journal" sheetId="3" r:id="rId10"/>
    <sheet name="Cash Receipts Journal" sheetId="4" r:id="rId11"/>
    <sheet name="Cash Payments Journal" sheetId="5" r:id="rId12"/>
    <sheet name="General Journal" sheetId="6" r:id="rId13"/>
    <sheet name="General Journal ADJ" sheetId="11" r:id="rId14"/>
    <sheet name="General Journal CLOSING" sheetId="12" r:id="rId15"/>
    <sheet name="General Ledger" sheetId="15" r:id="rId16"/>
    <sheet name="AR Ledger" sheetId="17" r:id="rId17"/>
    <sheet name="AP Ledger" sheetId="18" r:id="rId18"/>
    <sheet name="Worksheet June 2013" sheetId="19" r:id="rId19"/>
    <sheet name="IS June 2013" sheetId="23" r:id="rId20"/>
    <sheet name="Stmt RE June 2013" sheetId="24" r:id="rId21"/>
    <sheet name="BS June 2013" sheetId="26" r:id="rId22"/>
    <sheet name="Post Closing Trial Balance" sheetId="39" r:id="rId23"/>
    <sheet name="Adjusted Trial Balances" sheetId="34" r:id="rId24"/>
    <sheet name="IS Comparative" sheetId="35" r:id="rId25"/>
    <sheet name="BS Comparative" sheetId="37" r:id="rId26"/>
    <sheet name="Ratios Historical" sheetId="38" r:id="rId27"/>
    <sheet name="Inventory Control" sheetId="29" r:id="rId28"/>
    <sheet name="Data" sheetId="45" state="hidden" r:id="rId29"/>
    <sheet name="Data - ADJ JE" sheetId="46" state="hidden" r:id="rId30"/>
  </sheets>
  <externalReferences>
    <externalReference r:id="rId31"/>
  </externalReferences>
  <definedNames>
    <definedName name="MainMenu">'Main Menu'!$C$1</definedName>
    <definedName name="_xlnm.Print_Area" localSheetId="23">'Adjusted Trial Balances'!$A$4:$D$53</definedName>
    <definedName name="_xlnm.Print_Area" localSheetId="25">'BS Comparative'!$A$1:$J$58</definedName>
    <definedName name="_xlnm.Print_Area" localSheetId="27">'Inventory Control'!$A$1:$M$41</definedName>
    <definedName name="_xlnm.Print_Area" localSheetId="26">'Ratios Historical'!$A$1:$J$67</definedName>
    <definedName name="_xlnm.Print_Area" localSheetId="8">'Sales Journal'!$A$1:$F$25</definedName>
    <definedName name="_xlnm.Print_Area" localSheetId="18">'Worksheet June 2013'!$A$1:$L$52</definedName>
    <definedName name="Worksheet">'Worksheet June 2013'!$C$4</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C49" i="19"/>
  <c r="D49"/>
  <c r="E49"/>
  <c r="H30" i="34" l="1"/>
  <c r="J30"/>
  <c r="F30"/>
  <c r="D30"/>
  <c r="G173" i="15" l="1"/>
  <c r="B68" i="18" l="1"/>
  <c r="S3" i="45" l="1"/>
  <c r="L32" i="34"/>
  <c r="D32" s="1"/>
  <c r="F32" s="1"/>
  <c r="H2"/>
  <c r="H43" s="1"/>
  <c r="J43" s="1"/>
  <c r="J3" i="35"/>
  <c r="J3" i="37" s="1"/>
  <c r="I3" i="34"/>
  <c r="H3" i="35" s="1"/>
  <c r="H3" i="37" s="1"/>
  <c r="G3" i="34"/>
  <c r="F3" i="35"/>
  <c r="F3" i="37" s="1"/>
  <c r="F1" i="38" s="1"/>
  <c r="E3" i="34"/>
  <c r="D3" i="35" s="1"/>
  <c r="D3" i="37" s="1"/>
  <c r="D1" i="38" s="1"/>
  <c r="C3" i="34"/>
  <c r="B3" i="35"/>
  <c r="B3" i="37" s="1"/>
  <c r="C51" i="34"/>
  <c r="E51" s="1"/>
  <c r="D50"/>
  <c r="F50" s="1"/>
  <c r="K7"/>
  <c r="C7" s="1"/>
  <c r="K36"/>
  <c r="K37"/>
  <c r="C37" s="1"/>
  <c r="K38"/>
  <c r="C38" s="1"/>
  <c r="E38" s="1"/>
  <c r="K39"/>
  <c r="K42"/>
  <c r="K43"/>
  <c r="C43" s="1"/>
  <c r="K44"/>
  <c r="C44" s="1"/>
  <c r="E44" s="1"/>
  <c r="K45"/>
  <c r="K46"/>
  <c r="K47"/>
  <c r="C47" s="1"/>
  <c r="E47" s="1"/>
  <c r="K48"/>
  <c r="C48" s="1"/>
  <c r="E48" s="1"/>
  <c r="K49"/>
  <c r="D29"/>
  <c r="D28"/>
  <c r="F28" s="1"/>
  <c r="H28" s="1"/>
  <c r="B51"/>
  <c r="B50"/>
  <c r="B37"/>
  <c r="B38"/>
  <c r="B39"/>
  <c r="B40"/>
  <c r="B41"/>
  <c r="B42"/>
  <c r="B43"/>
  <c r="B44"/>
  <c r="B45"/>
  <c r="B46"/>
  <c r="B47"/>
  <c r="B48"/>
  <c r="B49"/>
  <c r="B36"/>
  <c r="B35"/>
  <c r="B33"/>
  <c r="B34"/>
  <c r="B32"/>
  <c r="B29"/>
  <c r="B30"/>
  <c r="B31"/>
  <c r="B28"/>
  <c r="B26"/>
  <c r="B27"/>
  <c r="B25"/>
  <c r="B21"/>
  <c r="B22"/>
  <c r="B23"/>
  <c r="B24"/>
  <c r="B20"/>
  <c r="B14"/>
  <c r="B15"/>
  <c r="B16"/>
  <c r="B17"/>
  <c r="B18"/>
  <c r="B19"/>
  <c r="B13"/>
  <c r="B12"/>
  <c r="B9"/>
  <c r="B10"/>
  <c r="B11"/>
  <c r="B8"/>
  <c r="B7"/>
  <c r="G271" i="15"/>
  <c r="C30" i="17"/>
  <c r="E30" s="1"/>
  <c r="E17"/>
  <c r="G4" i="45"/>
  <c r="K20" s="1"/>
  <c r="G27"/>
  <c r="D4" i="29"/>
  <c r="G4"/>
  <c r="J4"/>
  <c r="D19"/>
  <c r="M19" s="1"/>
  <c r="D32"/>
  <c r="J32"/>
  <c r="G15" i="45"/>
  <c r="G26"/>
  <c r="J26"/>
  <c r="G3"/>
  <c r="J3" s="1"/>
  <c r="G14"/>
  <c r="G19"/>
  <c r="G6"/>
  <c r="J6" s="1"/>
  <c r="G7"/>
  <c r="G8"/>
  <c r="G18"/>
  <c r="G21"/>
  <c r="J21" s="1"/>
  <c r="M13" i="46"/>
  <c r="F6"/>
  <c r="M6" s="1"/>
  <c r="L16"/>
  <c r="S24" i="45"/>
  <c r="AA24" s="1"/>
  <c r="B64" i="44" s="1"/>
  <c r="S22" i="45"/>
  <c r="U22"/>
  <c r="S32"/>
  <c r="U32"/>
  <c r="AA31"/>
  <c r="B78" i="44" s="1"/>
  <c r="AA30" i="45"/>
  <c r="B76" i="44" s="1"/>
  <c r="S29" i="45"/>
  <c r="AA29" s="1"/>
  <c r="B74" i="44" s="1"/>
  <c r="U29" i="45"/>
  <c r="W29"/>
  <c r="S28"/>
  <c r="AA28"/>
  <c r="B72" i="44" s="1"/>
  <c r="S23" i="45"/>
  <c r="U23"/>
  <c r="AA23"/>
  <c r="B62" i="44" s="1"/>
  <c r="AA25" i="45"/>
  <c r="B66" i="44" s="1"/>
  <c r="S26" i="45"/>
  <c r="U26"/>
  <c r="S21"/>
  <c r="U21"/>
  <c r="AA21" s="1"/>
  <c r="AA20"/>
  <c r="B52" i="44"/>
  <c r="S19" i="45"/>
  <c r="U19"/>
  <c r="AA19" s="1"/>
  <c r="B46" i="44" s="1"/>
  <c r="S16" i="45"/>
  <c r="U16"/>
  <c r="AA16" s="1"/>
  <c r="B44" i="44" s="1"/>
  <c r="S18" i="45"/>
  <c r="U18"/>
  <c r="AA18" s="1"/>
  <c r="B42" i="44" s="1"/>
  <c r="S15" i="45"/>
  <c r="U15"/>
  <c r="AA15" s="1"/>
  <c r="B40" i="44" s="1"/>
  <c r="S14" i="45"/>
  <c r="U14"/>
  <c r="AA14" s="1"/>
  <c r="B38" i="44" s="1"/>
  <c r="S13" i="45"/>
  <c r="AA13"/>
  <c r="B34" i="44" s="1"/>
  <c r="AA12" i="45"/>
  <c r="B32" i="44" s="1"/>
  <c r="AA11" i="45"/>
  <c r="B30" i="44" s="1"/>
  <c r="S10" i="45"/>
  <c r="AA10" s="1"/>
  <c r="B28" i="44" s="1"/>
  <c r="AA9" i="45"/>
  <c r="B22" i="44" s="1"/>
  <c r="S7" i="45"/>
  <c r="U7"/>
  <c r="W7"/>
  <c r="Y7"/>
  <c r="S5"/>
  <c r="AA5" s="1"/>
  <c r="B16" i="44" s="1"/>
  <c r="S6" i="45"/>
  <c r="U6"/>
  <c r="S4"/>
  <c r="U4"/>
  <c r="U3"/>
  <c r="AA3" s="1"/>
  <c r="B8" i="44" s="1"/>
  <c r="S2" i="45"/>
  <c r="U2"/>
  <c r="V2"/>
  <c r="S27"/>
  <c r="AA27" s="1"/>
  <c r="B70" i="44" s="1"/>
  <c r="U27" i="45"/>
  <c r="AA17"/>
  <c r="AA33"/>
  <c r="P17" i="46"/>
  <c r="R17"/>
  <c r="P16"/>
  <c r="R16"/>
  <c r="L6"/>
  <c r="L17"/>
  <c r="P13"/>
  <c r="T13" s="1"/>
  <c r="C13" s="1"/>
  <c r="B101" i="44" s="1"/>
  <c r="P11" i="46"/>
  <c r="T11" s="1"/>
  <c r="C11" s="1"/>
  <c r="B98" i="44" s="1"/>
  <c r="T9" i="46"/>
  <c r="C9" s="1"/>
  <c r="B96" i="44" s="1"/>
  <c r="P6" i="46"/>
  <c r="T6"/>
  <c r="C6" s="1"/>
  <c r="B94" i="44" s="1"/>
  <c r="B92"/>
  <c r="F69" i="15"/>
  <c r="K12" i="34" s="1"/>
  <c r="C12" s="1"/>
  <c r="E12" s="1"/>
  <c r="G12" s="1"/>
  <c r="I12" s="1"/>
  <c r="L3" i="46"/>
  <c r="P3" s="1"/>
  <c r="T3" s="1"/>
  <c r="E3" s="1"/>
  <c r="B24" i="44" s="1"/>
  <c r="L31" i="45"/>
  <c r="L23"/>
  <c r="L22"/>
  <c r="J15"/>
  <c r="J18"/>
  <c r="J11"/>
  <c r="K11" s="1"/>
  <c r="L11" s="1"/>
  <c r="J27"/>
  <c r="J19"/>
  <c r="J4"/>
  <c r="C46" i="34"/>
  <c r="B1" i="38"/>
  <c r="A1" i="37"/>
  <c r="L27" i="34"/>
  <c r="D27" s="1"/>
  <c r="L22"/>
  <c r="L21"/>
  <c r="D21" s="1"/>
  <c r="L19"/>
  <c r="D19" s="1"/>
  <c r="F19" s="1"/>
  <c r="K18"/>
  <c r="L17"/>
  <c r="K16"/>
  <c r="C16" s="1"/>
  <c r="K11"/>
  <c r="L9"/>
  <c r="E7"/>
  <c r="G7" s="1"/>
  <c r="I7" s="1"/>
  <c r="A1" i="35"/>
  <c r="D51" i="34"/>
  <c r="F51" s="1"/>
  <c r="H51" s="1"/>
  <c r="J51" s="1"/>
  <c r="A51"/>
  <c r="C50"/>
  <c r="E50" s="1"/>
  <c r="G50" s="1"/>
  <c r="I50" s="1"/>
  <c r="A50"/>
  <c r="D49"/>
  <c r="F49" s="1"/>
  <c r="H49" s="1"/>
  <c r="J49" s="1"/>
  <c r="C49"/>
  <c r="E49" s="1"/>
  <c r="A49"/>
  <c r="D48"/>
  <c r="F48" s="1"/>
  <c r="A48"/>
  <c r="D47"/>
  <c r="F47" s="1"/>
  <c r="A47"/>
  <c r="E46"/>
  <c r="G46" s="1"/>
  <c r="I46" s="1"/>
  <c r="D46"/>
  <c r="F46" s="1"/>
  <c r="A46"/>
  <c r="D45"/>
  <c r="F45" s="1"/>
  <c r="H45" s="1"/>
  <c r="J45" s="1"/>
  <c r="C45"/>
  <c r="E45" s="1"/>
  <c r="G45" s="1"/>
  <c r="A45"/>
  <c r="D44"/>
  <c r="F44" s="1"/>
  <c r="A44"/>
  <c r="D43"/>
  <c r="F43" s="1"/>
  <c r="A43"/>
  <c r="D42"/>
  <c r="F42" s="1"/>
  <c r="H42" s="1"/>
  <c r="J42" s="1"/>
  <c r="C42"/>
  <c r="E42" s="1"/>
  <c r="G42" s="1"/>
  <c r="A42"/>
  <c r="D41"/>
  <c r="F41" s="1"/>
  <c r="H41" s="1"/>
  <c r="J41" s="1"/>
  <c r="C41"/>
  <c r="E41" s="1"/>
  <c r="G41" s="1"/>
  <c r="A41"/>
  <c r="D40"/>
  <c r="F40" s="1"/>
  <c r="H40" s="1"/>
  <c r="J40" s="1"/>
  <c r="C40"/>
  <c r="A40"/>
  <c r="D39"/>
  <c r="F39" s="1"/>
  <c r="C39"/>
  <c r="E39" s="1"/>
  <c r="G39" s="1"/>
  <c r="A39"/>
  <c r="D38"/>
  <c r="F38" s="1"/>
  <c r="A38"/>
  <c r="D37"/>
  <c r="F37" s="1"/>
  <c r="H37" s="1"/>
  <c r="J37" s="1"/>
  <c r="A37"/>
  <c r="D36"/>
  <c r="F36" s="1"/>
  <c r="H36" s="1"/>
  <c r="J36" s="1"/>
  <c r="C36"/>
  <c r="E36" s="1"/>
  <c r="G36" s="1"/>
  <c r="A36"/>
  <c r="D35"/>
  <c r="F35" s="1"/>
  <c r="H35" s="1"/>
  <c r="J35" s="1"/>
  <c r="A35"/>
  <c r="D34"/>
  <c r="F34" s="1"/>
  <c r="C34"/>
  <c r="A34"/>
  <c r="D33"/>
  <c r="F33" s="1"/>
  <c r="H33" s="1"/>
  <c r="J33" s="1"/>
  <c r="C33"/>
  <c r="E33" s="1"/>
  <c r="G33" s="1"/>
  <c r="A33"/>
  <c r="C32"/>
  <c r="E32" s="1"/>
  <c r="G32" s="1"/>
  <c r="I32" s="1"/>
  <c r="A32"/>
  <c r="C31"/>
  <c r="E31" s="1"/>
  <c r="G31" s="1"/>
  <c r="I31" s="1"/>
  <c r="A31"/>
  <c r="C30"/>
  <c r="A30"/>
  <c r="C29"/>
  <c r="E29" s="1"/>
  <c r="G29" s="1"/>
  <c r="I29" s="1"/>
  <c r="A29"/>
  <c r="C28"/>
  <c r="E28" s="1"/>
  <c r="G28" s="1"/>
  <c r="I28" s="1"/>
  <c r="A28"/>
  <c r="C27"/>
  <c r="E27" s="1"/>
  <c r="G27" s="1"/>
  <c r="I27" s="1"/>
  <c r="A27"/>
  <c r="C26"/>
  <c r="E26" s="1"/>
  <c r="G26" s="1"/>
  <c r="I26" s="1"/>
  <c r="A26"/>
  <c r="C25"/>
  <c r="E25" s="1"/>
  <c r="G25" s="1"/>
  <c r="I25" s="1"/>
  <c r="A25"/>
  <c r="C24"/>
  <c r="E24" s="1"/>
  <c r="G24" s="1"/>
  <c r="I24" s="1"/>
  <c r="A24"/>
  <c r="C23"/>
  <c r="E23"/>
  <c r="G23" s="1"/>
  <c r="I23" s="1"/>
  <c r="A23"/>
  <c r="C22"/>
  <c r="E22" s="1"/>
  <c r="G22" s="1"/>
  <c r="I22" s="1"/>
  <c r="A22"/>
  <c r="C21"/>
  <c r="E21" s="1"/>
  <c r="G21" s="1"/>
  <c r="I21" s="1"/>
  <c r="A21"/>
  <c r="C20"/>
  <c r="E20" s="1"/>
  <c r="G20" s="1"/>
  <c r="I20" s="1"/>
  <c r="A20"/>
  <c r="C19"/>
  <c r="E19" s="1"/>
  <c r="G19" s="1"/>
  <c r="I19" s="1"/>
  <c r="A19"/>
  <c r="A18"/>
  <c r="C17"/>
  <c r="E17" s="1"/>
  <c r="G17" s="1"/>
  <c r="I17" s="1"/>
  <c r="A17"/>
  <c r="A16"/>
  <c r="A15"/>
  <c r="A14"/>
  <c r="A13"/>
  <c r="A12"/>
  <c r="A11"/>
  <c r="A10"/>
  <c r="C9"/>
  <c r="E9" s="1"/>
  <c r="G9" s="1"/>
  <c r="I9" s="1"/>
  <c r="A9"/>
  <c r="M8"/>
  <c r="A8"/>
  <c r="A7"/>
  <c r="D31"/>
  <c r="F31"/>
  <c r="H31" s="1"/>
  <c r="J31" s="1"/>
  <c r="C11"/>
  <c r="E11" s="1"/>
  <c r="C18"/>
  <c r="F29"/>
  <c r="H29" s="1"/>
  <c r="J29" s="1"/>
  <c r="D10"/>
  <c r="F10" s="1"/>
  <c r="H10" s="1"/>
  <c r="J10" s="1"/>
  <c r="D12"/>
  <c r="F12" s="1"/>
  <c r="H12" s="1"/>
  <c r="J12" s="1"/>
  <c r="D17"/>
  <c r="D23"/>
  <c r="D24"/>
  <c r="F24" s="1"/>
  <c r="H24" s="1"/>
  <c r="D25"/>
  <c r="F25" s="1"/>
  <c r="D7"/>
  <c r="F7"/>
  <c r="H7" s="1"/>
  <c r="J7" s="1"/>
  <c r="D8"/>
  <c r="F8" s="1"/>
  <c r="H8" s="1"/>
  <c r="J8" s="1"/>
  <c r="D11"/>
  <c r="F11" s="1"/>
  <c r="H11" s="1"/>
  <c r="J11" s="1"/>
  <c r="D13"/>
  <c r="F13" s="1"/>
  <c r="H13" s="1"/>
  <c r="J13" s="1"/>
  <c r="D16"/>
  <c r="F16" s="1"/>
  <c r="H16" s="1"/>
  <c r="J16" s="1"/>
  <c r="D18"/>
  <c r="F18" s="1"/>
  <c r="H18" s="1"/>
  <c r="J18" s="1"/>
  <c r="D22"/>
  <c r="F22" s="1"/>
  <c r="D26"/>
  <c r="F26" s="1"/>
  <c r="F17"/>
  <c r="H17" s="1"/>
  <c r="J17" s="1"/>
  <c r="F23"/>
  <c r="H23" s="1"/>
  <c r="B25" i="19"/>
  <c r="G284" i="15"/>
  <c r="L29" i="34"/>
  <c r="B16" i="18"/>
  <c r="B81"/>
  <c r="F19"/>
  <c r="G572" i="15"/>
  <c r="B572"/>
  <c r="L20" i="34"/>
  <c r="D20" s="1"/>
  <c r="F20" s="1"/>
  <c r="G108" i="15"/>
  <c r="B105"/>
  <c r="B92"/>
  <c r="G105"/>
  <c r="G92"/>
  <c r="F95"/>
  <c r="K14" i="34" s="1"/>
  <c r="B12" i="19"/>
  <c r="B11"/>
  <c r="A12"/>
  <c r="A11"/>
  <c r="G296" i="15"/>
  <c r="F82"/>
  <c r="G256"/>
  <c r="B256"/>
  <c r="G244"/>
  <c r="B244"/>
  <c r="G233"/>
  <c r="B233"/>
  <c r="G39"/>
  <c r="B39"/>
  <c r="L28" i="34"/>
  <c r="B29" i="29"/>
  <c r="B16"/>
  <c r="B1"/>
  <c r="B48" i="19"/>
  <c r="A48"/>
  <c r="B47"/>
  <c r="A47"/>
  <c r="B33"/>
  <c r="B34"/>
  <c r="B35"/>
  <c r="B36"/>
  <c r="B37"/>
  <c r="B38"/>
  <c r="B39"/>
  <c r="B40"/>
  <c r="B41"/>
  <c r="B42"/>
  <c r="B43"/>
  <c r="B44"/>
  <c r="B45"/>
  <c r="B46"/>
  <c r="A34"/>
  <c r="A35"/>
  <c r="A36"/>
  <c r="A37"/>
  <c r="A38"/>
  <c r="A39"/>
  <c r="A40"/>
  <c r="A41"/>
  <c r="A42"/>
  <c r="A43"/>
  <c r="A44"/>
  <c r="A45"/>
  <c r="A46"/>
  <c r="A33"/>
  <c r="B32"/>
  <c r="A32"/>
  <c r="B29"/>
  <c r="B30"/>
  <c r="B31"/>
  <c r="A30"/>
  <c r="A31"/>
  <c r="A29"/>
  <c r="B26"/>
  <c r="B27"/>
  <c r="B28"/>
  <c r="A26"/>
  <c r="A27"/>
  <c r="A28"/>
  <c r="A25"/>
  <c r="B22"/>
  <c r="B23"/>
  <c r="B24"/>
  <c r="A23"/>
  <c r="A24"/>
  <c r="A22"/>
  <c r="B17"/>
  <c r="B18"/>
  <c r="B19"/>
  <c r="B20"/>
  <c r="B21"/>
  <c r="A18"/>
  <c r="A19"/>
  <c r="A20"/>
  <c r="A21"/>
  <c r="A17"/>
  <c r="A13"/>
  <c r="A14"/>
  <c r="A15"/>
  <c r="A16"/>
  <c r="A10"/>
  <c r="B13"/>
  <c r="B14"/>
  <c r="B15"/>
  <c r="B16"/>
  <c r="B10"/>
  <c r="A5"/>
  <c r="A6"/>
  <c r="A7"/>
  <c r="A8"/>
  <c r="A9"/>
  <c r="A4"/>
  <c r="B5"/>
  <c r="B6"/>
  <c r="B7"/>
  <c r="B8"/>
  <c r="B9"/>
  <c r="G343" i="15"/>
  <c r="G330"/>
  <c r="G317"/>
  <c r="G305"/>
  <c r="G293"/>
  <c r="G281"/>
  <c r="G268"/>
  <c r="G221"/>
  <c r="G208"/>
  <c r="G195"/>
  <c r="G182"/>
  <c r="G170"/>
  <c r="G157"/>
  <c r="G144"/>
  <c r="G131"/>
  <c r="G118"/>
  <c r="G79"/>
  <c r="G66"/>
  <c r="G53"/>
  <c r="G27"/>
  <c r="G14"/>
  <c r="G1"/>
  <c r="G560"/>
  <c r="B560"/>
  <c r="G548"/>
  <c r="B548"/>
  <c r="G536"/>
  <c r="B536"/>
  <c r="G524"/>
  <c r="B524"/>
  <c r="G512"/>
  <c r="B512"/>
  <c r="G499"/>
  <c r="B499"/>
  <c r="G486"/>
  <c r="B486"/>
  <c r="G473"/>
  <c r="B473"/>
  <c r="G460"/>
  <c r="B460"/>
  <c r="G447"/>
  <c r="B447"/>
  <c r="G434"/>
  <c r="B434"/>
  <c r="G421"/>
  <c r="B421"/>
  <c r="G408"/>
  <c r="B408"/>
  <c r="G395"/>
  <c r="B395"/>
  <c r="G382"/>
  <c r="B382"/>
  <c r="G369"/>
  <c r="B369"/>
  <c r="G356"/>
  <c r="B356"/>
  <c r="B343"/>
  <c r="B330"/>
  <c r="B317"/>
  <c r="B305"/>
  <c r="B293"/>
  <c r="B281"/>
  <c r="B268"/>
  <c r="B221"/>
  <c r="B208"/>
  <c r="B195"/>
  <c r="B182"/>
  <c r="B170"/>
  <c r="B157"/>
  <c r="B144"/>
  <c r="B131"/>
  <c r="B118"/>
  <c r="B79"/>
  <c r="B66"/>
  <c r="B53"/>
  <c r="B27"/>
  <c r="B14"/>
  <c r="B1"/>
  <c r="A1" i="12"/>
  <c r="A1" i="11"/>
  <c r="A1" i="6"/>
  <c r="A1" i="5"/>
  <c r="A1" i="4"/>
  <c r="A1" i="3"/>
  <c r="A1" i="2"/>
  <c r="A1" i="14"/>
  <c r="B1" i="13"/>
  <c r="J19" i="29"/>
  <c r="G19"/>
  <c r="A1" i="26"/>
  <c r="A1" i="24"/>
  <c r="A1" i="23"/>
  <c r="A1" i="39" s="1"/>
  <c r="B4" i="19"/>
  <c r="B42" i="18"/>
  <c r="B3"/>
  <c r="B29"/>
  <c r="B55"/>
  <c r="B66" i="17"/>
  <c r="B53"/>
  <c r="B40"/>
  <c r="B27"/>
  <c r="B14"/>
  <c r="B1"/>
  <c r="K13" i="34"/>
  <c r="G13" s="1"/>
  <c r="L30"/>
  <c r="L15"/>
  <c r="H15" s="1"/>
  <c r="F15" s="1"/>
  <c r="D15" s="1"/>
  <c r="J12" i="45" l="1"/>
  <c r="M32" i="29"/>
  <c r="H39" i="34"/>
  <c r="J39" s="1"/>
  <c r="H44"/>
  <c r="J44" s="1"/>
  <c r="H48"/>
  <c r="J48" s="1"/>
  <c r="AA2" i="45"/>
  <c r="B6" i="44" s="1"/>
  <c r="AA4" i="45"/>
  <c r="B12" i="44" s="1"/>
  <c r="AA22" i="45"/>
  <c r="B60" i="44" s="1"/>
  <c r="H32" i="34"/>
  <c r="J32" s="1"/>
  <c r="M4" i="29"/>
  <c r="I13" i="34"/>
  <c r="H34"/>
  <c r="J34" s="1"/>
  <c r="H38"/>
  <c r="J38" s="1"/>
  <c r="H46"/>
  <c r="J46" s="1"/>
  <c r="H47"/>
  <c r="J47" s="1"/>
  <c r="AA6" i="45"/>
  <c r="B14" i="44" s="1"/>
  <c r="G14" i="34"/>
  <c r="E14" s="1"/>
  <c r="C14" s="1"/>
  <c r="I14"/>
  <c r="T16" i="46"/>
  <c r="C16" s="1"/>
  <c r="B104" i="44" s="1"/>
  <c r="AA26" i="45"/>
  <c r="B68" i="44" s="1"/>
  <c r="AA32" i="45"/>
  <c r="B80" i="44" s="1"/>
  <c r="K35" i="34"/>
  <c r="C35" s="1"/>
  <c r="E35" s="1"/>
  <c r="G35" s="1"/>
  <c r="I35" s="1"/>
  <c r="L53"/>
  <c r="T17" i="46"/>
  <c r="C17" s="1"/>
  <c r="B105" i="44" s="1"/>
  <c r="AA7" i="45"/>
  <c r="B18" i="44" s="1"/>
  <c r="J20" i="45"/>
  <c r="L20" s="1"/>
  <c r="G20" s="1"/>
  <c r="H26" i="34"/>
  <c r="J26" s="1"/>
  <c r="I39"/>
  <c r="G38"/>
  <c r="G11"/>
  <c r="G49"/>
  <c r="I49" s="1"/>
  <c r="E16"/>
  <c r="E37"/>
  <c r="E40"/>
  <c r="E43"/>
  <c r="G43" s="1"/>
  <c r="G44"/>
  <c r="I44" s="1"/>
  <c r="G51"/>
  <c r="I51" s="1"/>
  <c r="I41"/>
  <c r="H20"/>
  <c r="G9" i="46"/>
  <c r="E13" i="34"/>
  <c r="C13"/>
  <c r="H25"/>
  <c r="F27"/>
  <c r="J24"/>
  <c r="H19"/>
  <c r="J28"/>
  <c r="H22"/>
  <c r="E18"/>
  <c r="B58" i="44"/>
  <c r="J23" i="34"/>
  <c r="I36"/>
  <c r="I38"/>
  <c r="I42"/>
  <c r="G47"/>
  <c r="G48"/>
  <c r="D9"/>
  <c r="F21"/>
  <c r="I33"/>
  <c r="E34"/>
  <c r="I45"/>
  <c r="H50"/>
  <c r="J30" i="45"/>
  <c r="F17" i="15"/>
  <c r="J14" i="45"/>
  <c r="J25" s="1"/>
  <c r="F42" i="15"/>
  <c r="K12" i="45" l="1"/>
  <c r="L12" s="1"/>
  <c r="G12" s="1"/>
  <c r="G16" i="34"/>
  <c r="G40"/>
  <c r="G37"/>
  <c r="J20"/>
  <c r="I11"/>
  <c r="I43"/>
  <c r="K8"/>
  <c r="H21"/>
  <c r="G34"/>
  <c r="K30" i="45"/>
  <c r="L30" s="1"/>
  <c r="J50" i="34"/>
  <c r="G18"/>
  <c r="I48"/>
  <c r="I47"/>
  <c r="F9"/>
  <c r="D53"/>
  <c r="J25"/>
  <c r="K25" i="45"/>
  <c r="K10" i="34"/>
  <c r="J22"/>
  <c r="J19"/>
  <c r="H27"/>
  <c r="I16" l="1"/>
  <c r="I37"/>
  <c r="I40"/>
  <c r="C10"/>
  <c r="J27"/>
  <c r="L25" i="45"/>
  <c r="G25" s="1"/>
  <c r="I18" i="34"/>
  <c r="H9"/>
  <c r="F53"/>
  <c r="J21"/>
  <c r="C8"/>
  <c r="K53"/>
  <c r="K55" s="1"/>
  <c r="G30" i="45"/>
  <c r="I34" i="34"/>
  <c r="F11" i="46" l="1"/>
  <c r="L11" s="1"/>
  <c r="E10" i="34"/>
  <c r="E8"/>
  <c r="C53"/>
  <c r="C55" s="1"/>
  <c r="J9"/>
  <c r="H53"/>
  <c r="F9" i="46" l="1"/>
  <c r="G10" i="34"/>
  <c r="J53"/>
  <c r="G8"/>
  <c r="E53"/>
  <c r="E55" s="1"/>
  <c r="I10" l="1"/>
  <c r="G53"/>
  <c r="G55" s="1"/>
  <c r="I8"/>
  <c r="M9" i="46"/>
  <c r="L9"/>
  <c r="I53" i="34" l="1"/>
  <c r="I55" s="1"/>
  <c r="E54" i="26" l="1"/>
  <c r="D30" i="39" l="1"/>
</calcChain>
</file>

<file path=xl/sharedStrings.xml><?xml version="1.0" encoding="utf-8"?>
<sst xmlns="http://schemas.openxmlformats.org/spreadsheetml/2006/main" count="1406" uniqueCount="505">
  <si>
    <t>Acct #</t>
  </si>
  <si>
    <t>Account Name</t>
  </si>
  <si>
    <t>Cash</t>
  </si>
  <si>
    <t>Accounts Receivable</t>
  </si>
  <si>
    <t>Merchandise Inventory</t>
  </si>
  <si>
    <t>Office Supplies</t>
  </si>
  <si>
    <t>Prepaid Insurance</t>
  </si>
  <si>
    <t>BALANCE SHEET ACCOUNTS</t>
  </si>
  <si>
    <t xml:space="preserve">   Assets</t>
  </si>
  <si>
    <t xml:space="preserve">     Current Assets</t>
  </si>
  <si>
    <t xml:space="preserve">     Property, Plant and Equipment</t>
  </si>
  <si>
    <t>Land</t>
  </si>
  <si>
    <t xml:space="preserve">   Liabilities</t>
  </si>
  <si>
    <t xml:space="preserve">     Current Liabilities</t>
  </si>
  <si>
    <t>Accounts Payable</t>
  </si>
  <si>
    <t>Wages Payable</t>
  </si>
  <si>
    <t>Interest Payable</t>
  </si>
  <si>
    <t xml:space="preserve">     Long-Term Liabilities</t>
  </si>
  <si>
    <t>Notes Payable</t>
  </si>
  <si>
    <t xml:space="preserve">   Capital (Equity)</t>
  </si>
  <si>
    <t>INCOME STATEMENT ACCOUNTS</t>
  </si>
  <si>
    <t xml:space="preserve">   Revenue</t>
  </si>
  <si>
    <t>Sales</t>
  </si>
  <si>
    <t>Sales Discounts</t>
  </si>
  <si>
    <t>Sales Returns &amp; Allowances</t>
  </si>
  <si>
    <t xml:space="preserve">   Cost of Goods Sold</t>
  </si>
  <si>
    <t>Cost of Goods Sold</t>
  </si>
  <si>
    <t xml:space="preserve">   Operating Expenses</t>
  </si>
  <si>
    <t>Office Supplies Expense</t>
  </si>
  <si>
    <t>Insurance Expense</t>
  </si>
  <si>
    <t>Utilities Expense</t>
  </si>
  <si>
    <t>Telecommunications Expense</t>
  </si>
  <si>
    <t>Interest Expense</t>
  </si>
  <si>
    <t>Equipment &amp; Furniture - Office</t>
  </si>
  <si>
    <t xml:space="preserve">   Other Expenses</t>
  </si>
  <si>
    <t>Date</t>
  </si>
  <si>
    <t>Invoice No.</t>
  </si>
  <si>
    <t>A/R Account Debited</t>
  </si>
  <si>
    <t>Post Ref</t>
  </si>
  <si>
    <t>A/R - DR                Sales - CR</t>
  </si>
  <si>
    <t>CGS - DR                   Inv - CR</t>
  </si>
  <si>
    <t>Sales Journal</t>
  </si>
  <si>
    <t>Creditors Account Credited</t>
  </si>
  <si>
    <t>A/P - CR</t>
  </si>
  <si>
    <t>Inventory - DR</t>
  </si>
  <si>
    <t>Office Supplies - DR</t>
  </si>
  <si>
    <t>Other - DR</t>
  </si>
  <si>
    <t>Other Account - Debited</t>
  </si>
  <si>
    <t>Purchases Journal</t>
  </si>
  <si>
    <t>A/R - CR</t>
  </si>
  <si>
    <t>Sales - CR</t>
  </si>
  <si>
    <t>Sale Discount - DR</t>
  </si>
  <si>
    <t>Cash - DR</t>
  </si>
  <si>
    <t>CGS - DR           Inv - CR</t>
  </si>
  <si>
    <t>Acct - CR                      Customer Acct                  Other Acct</t>
  </si>
  <si>
    <t>Check #</t>
  </si>
  <si>
    <t>Cash - CR</t>
  </si>
  <si>
    <t>Inventory - CR</t>
  </si>
  <si>
    <t>A/P - DR</t>
  </si>
  <si>
    <t>Payee</t>
  </si>
  <si>
    <t>Account Debited</t>
  </si>
  <si>
    <t>Cash Payments Journal</t>
  </si>
  <si>
    <t>Accounts</t>
  </si>
  <si>
    <t>DEBIT</t>
  </si>
  <si>
    <t>CREDIT</t>
  </si>
  <si>
    <t>General Journal</t>
  </si>
  <si>
    <t>Chart of Accounts - General Ledger</t>
  </si>
  <si>
    <t>Chart of Accounts - Accounts Payable Ledger</t>
  </si>
  <si>
    <t>Item</t>
  </si>
  <si>
    <t>Transaction</t>
  </si>
  <si>
    <t>Account Balance</t>
  </si>
  <si>
    <t>Account No.</t>
  </si>
  <si>
    <t xml:space="preserve">Account:  </t>
  </si>
  <si>
    <t>Account:</t>
  </si>
  <si>
    <t>Unadjusted</t>
  </si>
  <si>
    <t>Adjusted</t>
  </si>
  <si>
    <t xml:space="preserve">Income </t>
  </si>
  <si>
    <t>Bal. Sheet</t>
  </si>
  <si>
    <t>Trial Balance</t>
  </si>
  <si>
    <t>Adjustments</t>
  </si>
  <si>
    <t>Statement</t>
  </si>
  <si>
    <t>Stmt. Own. Equity</t>
  </si>
  <si>
    <t>Acct. No.</t>
  </si>
  <si>
    <t>Account Title</t>
  </si>
  <si>
    <t>Dr.</t>
  </si>
  <si>
    <t>Cr.</t>
  </si>
  <si>
    <t>Income Statement</t>
  </si>
  <si>
    <t>Balance Sheet</t>
  </si>
  <si>
    <t>Shoe:</t>
  </si>
  <si>
    <t>BI Units</t>
  </si>
  <si>
    <t>BI $/Unit</t>
  </si>
  <si>
    <t>BI $</t>
  </si>
  <si>
    <t>Purch Units</t>
  </si>
  <si>
    <t>Purch $/Unit</t>
  </si>
  <si>
    <t>Purch $</t>
  </si>
  <si>
    <t>EI Units</t>
  </si>
  <si>
    <t>EI $/Unit</t>
  </si>
  <si>
    <t>EI $</t>
  </si>
  <si>
    <t>Balance</t>
  </si>
  <si>
    <t>Sale Units (CGS)</t>
  </si>
  <si>
    <t>Sale $/Unit (CGS)</t>
  </si>
  <si>
    <t>Sale $ (CGS)</t>
  </si>
  <si>
    <t>Depreciation Expense - Equip &amp; Furniture - Office</t>
  </si>
  <si>
    <t>AC Speed Corporation</t>
  </si>
  <si>
    <t>Allowance for Doubtful Accounts</t>
  </si>
  <si>
    <t>Equipment &amp; Furniture - Warehouse</t>
  </si>
  <si>
    <t>Unearned Rent</t>
  </si>
  <si>
    <t>Dividends Payable</t>
  </si>
  <si>
    <t>Bonds Payable</t>
  </si>
  <si>
    <t>Mortgage (Warehouse) Payable</t>
  </si>
  <si>
    <t>Common Stock, $1 Par, 100,000 Authorized; 60,000 shares Issued/Outstanding</t>
  </si>
  <si>
    <t>Paid In Capital - Excess of Par</t>
  </si>
  <si>
    <t>Retained Earnings</t>
  </si>
  <si>
    <t>Treasury Stock</t>
  </si>
  <si>
    <t>Wage Expense (hourly workers)</t>
  </si>
  <si>
    <t>Salaries Expense (Exempt Staff)</t>
  </si>
  <si>
    <t>Marketing Expense</t>
  </si>
  <si>
    <t>Travel and Entertainment Expense</t>
  </si>
  <si>
    <t>Depreciation Expense -  Equip &amp; Furniture - Warehouse</t>
  </si>
  <si>
    <t>Bad Debt Expense</t>
  </si>
  <si>
    <t>Property Tax Expense</t>
  </si>
  <si>
    <t>Office Maintenance &amp; Repair Expense</t>
  </si>
  <si>
    <t xml:space="preserve">   Other Income</t>
  </si>
  <si>
    <t>Rent Income</t>
  </si>
  <si>
    <t>General Motors</t>
  </si>
  <si>
    <t>Ford Motor Co.</t>
  </si>
  <si>
    <t>Toyota</t>
  </si>
  <si>
    <t>Honda</t>
  </si>
  <si>
    <t>Kia</t>
  </si>
  <si>
    <t>Nissan</t>
  </si>
  <si>
    <t>Chart of Accounts - Accounts Receivable Ledger</t>
  </si>
  <si>
    <t>Navistar</t>
  </si>
  <si>
    <t>Samsung</t>
  </si>
  <si>
    <t>JVC</t>
  </si>
  <si>
    <t>Magellan</t>
  </si>
  <si>
    <t>Garmin</t>
  </si>
  <si>
    <t>Motorola</t>
  </si>
  <si>
    <t>Cash Receipts Journal</t>
  </si>
  <si>
    <t>Total</t>
  </si>
  <si>
    <t>Net Income (Loss)</t>
  </si>
  <si>
    <t>Product Name</t>
  </si>
  <si>
    <t>GPS</t>
  </si>
  <si>
    <t>DVD Player</t>
  </si>
  <si>
    <t>Docking Station</t>
  </si>
  <si>
    <t>Description</t>
  </si>
  <si>
    <t>In vehicle GPS unit</t>
  </si>
  <si>
    <t>In vehicle DVD player</t>
  </si>
  <si>
    <t>Cell phone / Mobile Communications Docking Station</t>
  </si>
  <si>
    <t>Beginning Inventory (BI)</t>
  </si>
  <si>
    <t>Purchases</t>
  </si>
  <si>
    <t>Ending Inventory (EI)</t>
  </si>
  <si>
    <t>Davenport University</t>
  </si>
  <si>
    <t>ACCT202 Practice Set</t>
  </si>
  <si>
    <t>Other - CR</t>
  </si>
  <si>
    <t>Balance Brought Forward</t>
  </si>
  <si>
    <t>Legal Expenses</t>
  </si>
  <si>
    <t>Travel &amp; Ent. Exp.</t>
  </si>
  <si>
    <t xml:space="preserve">Purchases </t>
  </si>
  <si>
    <t>Telecom. Expense</t>
  </si>
  <si>
    <t>Variance</t>
  </si>
  <si>
    <t>Balance Carried Forward</t>
  </si>
  <si>
    <t>B/S Adjuster</t>
  </si>
  <si>
    <t>I/S Adjuster</t>
  </si>
  <si>
    <t>Liquidity</t>
  </si>
  <si>
    <t>Note Payable</t>
  </si>
  <si>
    <t>Building</t>
  </si>
  <si>
    <t>Accumulated Depreciation - Building</t>
  </si>
  <si>
    <t>Accumulated Depreciation - Equip &amp; Furn. - Warehouse</t>
  </si>
  <si>
    <t>Accumulated Depreciation - Equip &amp; Furn. - Office</t>
  </si>
  <si>
    <t>Office Max</t>
  </si>
  <si>
    <t>Michigan Utility Company</t>
  </si>
  <si>
    <t>Statement of Retained Earnings</t>
  </si>
  <si>
    <t>Income Summary</t>
  </si>
  <si>
    <t>Other</t>
  </si>
  <si>
    <t>Post-closing Trial Balance</t>
  </si>
  <si>
    <t>Common Dividends</t>
  </si>
  <si>
    <t>Weighted Average Common Shares</t>
  </si>
  <si>
    <t>Market Price per Common Share</t>
  </si>
  <si>
    <t>Current Ratio (One decimal place)</t>
  </si>
  <si>
    <t>Acid Test Ratio (One decimal place)</t>
  </si>
  <si>
    <t>Receivables Turnover (One decimal place)</t>
  </si>
  <si>
    <t>Inventory Turnover (One decimal place)</t>
  </si>
  <si>
    <t>Profitability</t>
  </si>
  <si>
    <t>Profit Margin (% with two decimal places)</t>
  </si>
  <si>
    <t>Asset Turnover (two decimal places)</t>
  </si>
  <si>
    <t>Return on Assets (% one decimal place)</t>
  </si>
  <si>
    <t>Return on Common Shareholders' Equity</t>
  </si>
  <si>
    <t xml:space="preserve"> (One decimal place)</t>
  </si>
  <si>
    <t>Earnings per Share (EPS) (Two decimal places)</t>
  </si>
  <si>
    <t>Price-Earnings (P/E ) Ratio (Two decimal places)</t>
  </si>
  <si>
    <t>Payout Ratio (% One decimal place)</t>
  </si>
  <si>
    <t>Solvency Ratios</t>
  </si>
  <si>
    <t>Debt to Total Assets Ratio (% One decimal place)</t>
  </si>
  <si>
    <t>INSTRUCTIONS:</t>
  </si>
  <si>
    <t>INDUSTRY</t>
  </si>
  <si>
    <t>Calculate all of the ratios listed above.</t>
  </si>
  <si>
    <t>Evaluate the company's performance trend relative to liquidity, profitability and solvency.</t>
  </si>
  <si>
    <t>Relate to the company management in which areas they are performing well and in which areas they need improvement.</t>
  </si>
  <si>
    <t>Company Background &amp; Scenario</t>
  </si>
  <si>
    <t>The AC Speed Company is a well-established, publicly-held corporation, operating as a wholesaler in the auto parts industry.  Specifically, AC Speed purchases auto parts from manufacturers and sells them to large business customers.  Most purchases and sales are on account, with trade credit terms (specified below).</t>
  </si>
  <si>
    <t>You’re a Davenport University student pursuing a bachelor’s degree in business and employed at the AC Speed Company this semester as an intern.  You’ve worked in various departments and on several projects so far, learning a lot about the company’s business operations.  Management seems impressed with your enthusiasm and the quality of your work.</t>
  </si>
  <si>
    <t>The company’s accountant has just been called away for a family emergency and will likely be absent for a month or so.  The General Manager asks you to take over the accountant’s regular duties on an interim basis.  You’re nervous about doing so, but are confident that what you’ve learned in accounting class, plus your personal problem-solving skills, will make this a successful experience.  What a great learning opportunity, not to mention an enhancement to your resume!</t>
  </si>
  <si>
    <t>Project Overview &amp; Instructions</t>
  </si>
  <si>
    <t>A. Overview</t>
  </si>
  <si>
    <t>a. Part 1 is a financial accounting activity that requires you to record various business transactions during the month, close the accounting records at the end of the month, and prepare the financial statements.  These tasks relate to the steps in the accounting cycle that you learned in your first accounting course.`</t>
  </si>
  <si>
    <t>b. Part 2 is an activity that requires you to analyze the company’s year-end financial statements to assist management in assessing the company’s position and making decisions about its future direction.</t>
  </si>
  <si>
    <t>c. This is an individual, not a team, project.  While you may discuss this project with others, you must prepare and submit your own work.  Refer to the academic integrity statement in the project workbook.</t>
  </si>
  <si>
    <t>d. Before starting work, review the entire project:  all instructions, business transactions descriptions, workbook sections, check figures, due dates, and submission requirements.</t>
  </si>
  <si>
    <t>B. General Instructions</t>
  </si>
  <si>
    <t>a. The parts of this project, including specific business transactions and steps in the accounting cycle, must be completed in sequence.  This is particularly important with business transactions relating to purchases and sales of inventory.</t>
  </si>
  <si>
    <t>c. These project instructions will not address every detail of every task.  If you have questions, ask your instructor.</t>
  </si>
  <si>
    <t>d. Most of your work for this project will be accomplished in Excel.  A basic skill level in this application is expected.  That is, you should be able to such things as move around in a workbook, enter data in cells, use the sum function, compose basic formulas, and save your work.</t>
  </si>
  <si>
    <t>e. If rounding is required, round to the nearest cent.  For example, $96.835 would be entered as $96.84.</t>
  </si>
  <si>
    <t>f. Use the check figures provided to check your work as you progress through the project.  Investigate any discrepancies and correct them as you go along.</t>
  </si>
  <si>
    <t>g. Refer to the project rubric to determine how components of the project will be assessed.</t>
  </si>
  <si>
    <t>h. Appearance counts!  Pay attention to the format, to spelling, and to other details of appearance.  This reflects on management’s perception of you as a professional.</t>
  </si>
  <si>
    <t>C. Submission Requirements</t>
  </si>
  <si>
    <t>a. Final submission of all parts of this project must be in electronic (not paper) form.  That is, you will submit your completed work via an assignment link in a Blackboard course site or via an email attachment.  Follow your instructor’s directions.</t>
  </si>
  <si>
    <t>b. Save backup copies of your work.  If you have multiple versions of the project, clearly label them for your own reference and to ensure that you submit the appropriate version to your instructor.</t>
  </si>
  <si>
    <t>c. You must read the academic integrity statement in the project workbook and enter your student ID number on the form to signify your agreement with and adherence to that statement.  Final project submissions will not be accepted without this.</t>
  </si>
  <si>
    <t>d. Due dates for the parts of this project will be provided by your instructor in the course syllabus, in the Blackboard course site, or in a designated handout.  Be sure to enter these on your personal calendar and plan your work on this project accordingly.</t>
  </si>
  <si>
    <t>D. Credit Terms &amp; Inventory Accounting</t>
  </si>
  <si>
    <t>c. AC Speed accounts for the specific types of merchandise in their inventory with a set of subsidiary ledgers (inventory control cards).  The balances in these subsidiary ledger records, in total, must equal the balance in the Merchandise Inventory account in the general ledger.</t>
  </si>
  <si>
    <t>d. AC Speed uses a perpetual inventory accounting system and a last-in, first-out (LIFO) inventory costing method.</t>
  </si>
  <si>
    <t>E. Financial Accounting Steps:</t>
  </si>
  <si>
    <t>a. Record each business transaction, in sequence by date, in the appropriate special journal or the general journal.  Also, immediately record any transaction involving inventory, a customer, or a vendor in the appropriate subsidiary ledger record.</t>
  </si>
  <si>
    <t>b. At the end of the month, post each entry in the general journal to the general ledger.</t>
  </si>
  <si>
    <t>c. At the end of the month, total each column in each special journal and post that total to the general ledger.  EXCEPT for entries in the “Other” columns, which must be posted individually to the general ledger.</t>
  </si>
  <si>
    <t>d. When posting is completed, bring the balance in each general ledger account up to date.</t>
  </si>
  <si>
    <t>e. When posting is completed, bring the balance in each subsidiary ledger account up to date.</t>
  </si>
  <si>
    <r>
      <t xml:space="preserve">f. At this point in the closing process, the balances of all subsidiary ledger accounts would be totaled and that total compared to the balance of the corresponding control account in the general ledger.  That is, the total of inventory control cards would be compared to the Merchandise Inventory balance; the customer subsidiary ledger total to the Accounts Receivable balance; and the vendor subsidiary ledger total to the Accounts Payable balance.  Any discrepancies would be investigated and corrected.  </t>
    </r>
    <r>
      <rPr>
        <i/>
        <sz val="11"/>
        <color theme="1"/>
        <rFont val="Calibri"/>
        <family val="2"/>
        <scheme val="minor"/>
      </rPr>
      <t>Given the limited scope of this project scenario, reconciliation between subsidiary ledgers and control accounts is not possible.</t>
    </r>
  </si>
  <si>
    <t>g. List all general ledger account balances in the unadjusted trial balance columns of the worksheet.  Use the sum function in Excel to total the debit and credit columns.  These totals should be equal.</t>
  </si>
  <si>
    <t>h. Prepare the end-of-month adjusting entries.  Record these entries in the general journal and post them to the general ledger.  Also record the adjusting entries in the designated columns in the worksheet and total the debit and credit columns.  These totals should be equal.</t>
  </si>
  <si>
    <t xml:space="preserve">i. Update general ledger account balances after posting adjusting journal entries.  </t>
  </si>
  <si>
    <t>j. Complete the unadjusted trial balance columns on the worksheet.  Use Excel formulas to carry balances from the unadjusted trial balance columns, adjusting as necessary by entries in the adjustments columns.  Check your results against the balances recorded in the general ledger.</t>
  </si>
  <si>
    <t xml:space="preserve">k. Sort the dollars recorded in the adjusted trial balance columns into either the income statement or the balance sheet columns.  Total these columns.  The entry of net income should cause the debit and credit columns to equal one another.  </t>
  </si>
  <si>
    <t>m. Prepare a statement of retained earnings in good form.   Look at examples of this statement in your textbook.  Remember that net income from your just-completed income statement is a necessary component of this statement.</t>
  </si>
  <si>
    <t>o. Prepare the end-of-month closing entries.  Record these entries in the general journal and post them to the general ledger.   Update balances in the general ledger accounts.</t>
  </si>
  <si>
    <t>p. List the general ledger accounts that have balances other than zero on the post-closing trial balance.  The totals of the debit column and the credit column should be equal.</t>
  </si>
  <si>
    <t>F. Part 2 of this project requires you to analyze the company’s year-end financial statements to assist the management of AC Speed in assessing the company’s financial position and making decisions about its future direction.</t>
  </si>
  <si>
    <t xml:space="preserve">d. Use Word to prepare a memo (minimum 500 words) to AC Speed’s general manager, addressing the three questions listed at the bottom of the ratios tab.  This should be formatted as a business memo, not an APA paper.  Be sure to include a brief introduction and conclusion in the memo.  Each question should be addressed in one or two paragraphs in the body of the memo.  Remember that the general manager will expect details/facts/ratios to support statements you may make about the status of the business.  Your writing should be concise, clear, and readable, with a fairly formal tone (since it’s addressed to AC Speed’s general manager, who is likely to share it with other members of management).   Your instructor will provide the due date and submission requirements for this part of the project.  </t>
  </si>
  <si>
    <t>June Month-end Adjustments:</t>
  </si>
  <si>
    <t>June 1</t>
  </si>
  <si>
    <t>June 2</t>
  </si>
  <si>
    <t>June 3</t>
  </si>
  <si>
    <t>June 4</t>
  </si>
  <si>
    <t>June 5</t>
  </si>
  <si>
    <t>June 7</t>
  </si>
  <si>
    <t>June 8</t>
  </si>
  <si>
    <t>June 11</t>
  </si>
  <si>
    <t>June 12</t>
  </si>
  <si>
    <t>June 13</t>
  </si>
  <si>
    <t>June 15</t>
  </si>
  <si>
    <t>June 16</t>
  </si>
  <si>
    <t>June 17</t>
  </si>
  <si>
    <t>June 18</t>
  </si>
  <si>
    <t>June 20</t>
  </si>
  <si>
    <t>June 22</t>
  </si>
  <si>
    <t>June 23</t>
  </si>
  <si>
    <t>June 25</t>
  </si>
  <si>
    <t>June 27</t>
  </si>
  <si>
    <t>June 24</t>
  </si>
  <si>
    <t>June 28</t>
  </si>
  <si>
    <t>June 29</t>
  </si>
  <si>
    <t>June 30</t>
  </si>
  <si>
    <t>Paid the dividend that was declared on June 3, Check #5283.</t>
  </si>
  <si>
    <t>Returned the 350 defective units received from Kia to Navistar.</t>
  </si>
  <si>
    <t>Received  payment in full from Toyota for the June 1st sale.</t>
  </si>
  <si>
    <t>While inspecting the June 13th purchase, it was discovered that the GPS units were programmed for South America instead of North America. AC Speed returned the entire order to Magellan.</t>
  </si>
  <si>
    <t>Paid in full for the June 1 purchase from Navistar, Check #5281.</t>
  </si>
  <si>
    <t>Paid in full for the purchase from JVC on June 13, Check #5287</t>
  </si>
  <si>
    <t>Paid in full for the purchase from Magellan on May 31st, Check #5291.</t>
  </si>
  <si>
    <t>JUNE JOURNAL TRANSACTIONS</t>
  </si>
  <si>
    <t>( A )</t>
  </si>
  <si>
    <t>( B )</t>
  </si>
  <si>
    <t>( C )</t>
  </si>
  <si>
    <t>( D )</t>
  </si>
  <si>
    <t>( E )</t>
  </si>
  <si>
    <t>( F )</t>
  </si>
  <si>
    <t>Depreciation on the company's fixed assets for the month of June is as follows:</t>
  </si>
  <si>
    <t>June 26</t>
  </si>
  <si>
    <t>Paid for office supplies purchased on June 2nd, Check #5280.</t>
  </si>
  <si>
    <t>Evaluate the company's performance relative to liquidity, profitability and solvency for their industry for the three years.</t>
  </si>
  <si>
    <t>Dec. 31, 2010</t>
  </si>
  <si>
    <t>Market Price per Share</t>
  </si>
  <si>
    <t>b. You are encouraged to use your textbook’s table of contents (front) or index (back) to locate helpful references.</t>
  </si>
  <si>
    <t>l. Use the income statement information on the worksheet to prepare a multi-step income statement in good form.   Look at examples of this income statement format in your textbook.</t>
  </si>
  <si>
    <t>n. Use the balance sheet information on the worksheet to prepare a classified balance sheet.  Remember that the ending retained earnings balance from the just-completed statement is a necessary component of the equity section of the balance sheet.</t>
  </si>
  <si>
    <t>b. Tabs in the project workbook provide trial balance data for the current and two preceding years for AC Speed and a location to calculation a selection of ratios.  Use the trial balance data and the formulas in Chapter 17 to compute the ratios listed for each of the three years.  YOU MUST STRUCTURE YOUR RATIO CALCULATIONS AS FORMULAS AND LINKS TO APPROPRIATE CELLS ON THE TRIAL BALANCE TAB.  You will lose points by simply typing the final ratio numbers or percentages.</t>
  </si>
  <si>
    <t>c. After you calculate the ratios, consider whether there is a trend over the three-year period.  Also compare the ratios you calculated for AC Speed with those listed as industry averages.  Review the information in Chapter 17 to help you determine what the ratios are telling you about various aspects of AC Speed’s business operations.</t>
  </si>
  <si>
    <t xml:space="preserve">Issued 5,500 shares of common stock for $11 per share (Refer to General ledger for description of common stock). </t>
  </si>
  <si>
    <t xml:space="preserve">A bankruptcy judge disallowed AC Speed's claim for $5,000 due from General Motors. Management Decided to write off this accounts receivable. </t>
  </si>
  <si>
    <t xml:space="preserve">Paid the first month's principal payment of $15,000 on the note payable.  In addition, paid one month's interest, Check #5293 </t>
  </si>
  <si>
    <t xml:space="preserve">AC Speed has earned one month of the prepaid rent received from their tenant at the beginning of June. </t>
  </si>
  <si>
    <t xml:space="preserve">The Board of Directors declared a cash dividend of $5 per share for shareholders of record on June 5th, payable on June 12th. </t>
  </si>
  <si>
    <t>Received payment from Toyota for May 11th sale.</t>
  </si>
  <si>
    <t xml:space="preserve">Paid $2,100 to Michigan Utility Co. for utilities bill that was recorded in May as an Account Payable, Check #5278. </t>
  </si>
  <si>
    <t>Received payment in full from Honda for the June 27th transaction.</t>
  </si>
  <si>
    <t>Type of Tran.</t>
  </si>
  <si>
    <t>Journal</t>
  </si>
  <si>
    <t>Units</t>
  </si>
  <si>
    <t>$ per Unit</t>
  </si>
  <si>
    <t>Total $</t>
  </si>
  <si>
    <t>L/T Payable</t>
  </si>
  <si>
    <t>Interest</t>
  </si>
  <si>
    <t>Interest Paid</t>
  </si>
  <si>
    <t>Balance Paid</t>
  </si>
  <si>
    <t>Discount</t>
  </si>
  <si>
    <t>Discount %</t>
  </si>
  <si>
    <t>Balance Owing</t>
  </si>
  <si>
    <t>Amt of Discount</t>
  </si>
  <si>
    <t>Amt of Balance</t>
  </si>
  <si>
    <t xml:space="preserve">Financing </t>
  </si>
  <si>
    <t>Purchase</t>
  </si>
  <si>
    <t>Yes</t>
  </si>
  <si>
    <t>Sale</t>
  </si>
  <si>
    <t xml:space="preserve">Purchases Journal </t>
  </si>
  <si>
    <t>Cash Receipt</t>
  </si>
  <si>
    <t>No</t>
  </si>
  <si>
    <t>Cash Payment</t>
  </si>
  <si>
    <t>Cash Payments</t>
  </si>
  <si>
    <t>Salaries</t>
  </si>
  <si>
    <t>Wages</t>
  </si>
  <si>
    <t>Cash Receipts</t>
  </si>
  <si>
    <t>no</t>
  </si>
  <si>
    <t>Other/ACT</t>
  </si>
  <si>
    <t>Debit</t>
  </si>
  <si>
    <t>Credit</t>
  </si>
  <si>
    <t># of months</t>
  </si>
  <si>
    <t>Adj Transaction Description</t>
  </si>
  <si>
    <t>Related transaction</t>
  </si>
  <si>
    <t>Rent per month</t>
  </si>
  <si>
    <t>Total Rent</t>
  </si>
  <si>
    <t>Rented part of the warehouse to a new tenant and received</t>
  </si>
  <si>
    <t>for three months rent starting in June</t>
  </si>
  <si>
    <t>Concatenation Process</t>
  </si>
  <si>
    <t>Previous balance</t>
  </si>
  <si>
    <t>Physical Count</t>
  </si>
  <si>
    <t>Accounts receivable balance</t>
  </si>
  <si>
    <t>Allowance %</t>
  </si>
  <si>
    <t>Allowance credit balance</t>
  </si>
  <si>
    <t>AC Speed estimates bad debt expense on a monthly basis rather than waiting until year-end. The company uses the allowance method. Based on recent industry estimates, AC Speed estimates that the allowance account should be</t>
  </si>
  <si>
    <t xml:space="preserve"> of accounts receivable. </t>
  </si>
  <si>
    <t>Concatenated Phrase</t>
  </si>
  <si>
    <t>Above transaction wording doesn't need changing</t>
  </si>
  <si>
    <t xml:space="preserve">The Company took a physical count of Office Supplies on June 30 and found the following to be on hand: Office Supplies - </t>
  </si>
  <si>
    <t>Required Information</t>
  </si>
  <si>
    <t>Month End Inv Balance</t>
  </si>
  <si>
    <t>Inventory Count</t>
  </si>
  <si>
    <t>Adjustment Calculations</t>
  </si>
  <si>
    <t>Must be a write down</t>
  </si>
  <si>
    <t xml:space="preserve">The Company took a physical inventory count on June 30 and found the following inventory on hand: Merchandise Inventory - </t>
  </si>
  <si>
    <t>Prepaid Insurance Balance</t>
  </si>
  <si>
    <t>Months</t>
  </si>
  <si>
    <t xml:space="preserve">The Balance in the prepaid insurance account at the beginning of June represents </t>
  </si>
  <si>
    <t xml:space="preserve">months of coverage. Record the amount of insurance for June. </t>
  </si>
  <si>
    <t>Historical Price</t>
  </si>
  <si>
    <t>Life</t>
  </si>
  <si>
    <t>Salvage Value</t>
  </si>
  <si>
    <t>Warehouse</t>
  </si>
  <si>
    <t>Office</t>
  </si>
  <si>
    <t>Monthly Depr.</t>
  </si>
  <si>
    <t xml:space="preserve">1. The furniture and equipment for the warehouse was purchased a few years ago for </t>
  </si>
  <si>
    <t>and are depreciated using the straight-line method.</t>
  </si>
  <si>
    <t>. These assets have a 5-year life, an expected salvage value of</t>
  </si>
  <si>
    <t xml:space="preserve">2. The furniture and equipment for the office was purchased last year for </t>
  </si>
  <si>
    <t>. these assets have a 7 year life, an expected salvage value of</t>
  </si>
  <si>
    <t xml:space="preserve">and are depreicated using stright-line method. </t>
  </si>
  <si>
    <t>Concatenate2</t>
  </si>
  <si>
    <t>Concatenate3</t>
  </si>
  <si>
    <t>Concatenate4</t>
  </si>
  <si>
    <t>Concatenate5</t>
  </si>
  <si>
    <t>Concatenate6</t>
  </si>
  <si>
    <t>Concatenate7</t>
  </si>
  <si>
    <t>Concatenate8</t>
  </si>
  <si>
    <t>Concatenate9</t>
  </si>
  <si>
    <t>Concatenate1</t>
  </si>
  <si>
    <t>Duration (years)</t>
  </si>
  <si>
    <t>Signed a</t>
  </si>
  <si>
    <t>year</t>
  </si>
  <si>
    <t>note payable with First Bank.</t>
  </si>
  <si>
    <t>Concatenate10</t>
  </si>
  <si>
    <t xml:space="preserve">Purchased </t>
  </si>
  <si>
    <t>per unit.</t>
  </si>
  <si>
    <t>GPS units on credit from Navistar for $</t>
  </si>
  <si>
    <t>Purchased</t>
  </si>
  <si>
    <t>Sold</t>
  </si>
  <si>
    <t>per unit, Invoice #5555</t>
  </si>
  <si>
    <t>DVD players on account to Toyota for</t>
  </si>
  <si>
    <t>Purchased office supplies from Office Max on credit for $</t>
  </si>
  <si>
    <t xml:space="preserve">Sold </t>
  </si>
  <si>
    <t>GPS units on account to Kia for</t>
  </si>
  <si>
    <t>docking stations for</t>
  </si>
  <si>
    <t>per unit and</t>
  </si>
  <si>
    <t xml:space="preserve"> GPS units for</t>
  </si>
  <si>
    <t xml:space="preserve">Received and paid expense reports for travel and entertainment totaling </t>
  </si>
  <si>
    <t>, Check #5279.</t>
  </si>
  <si>
    <t xml:space="preserve">Received a bill from the law firm of Larry, Moe &amp; Curly for </t>
  </si>
  <si>
    <t>, payable upon receipt, for bond consulting fees, Check #5282.</t>
  </si>
  <si>
    <t xml:space="preserve">Took advantage of a special deal to purchase </t>
  </si>
  <si>
    <t xml:space="preserve">DVD players on account from JVC for </t>
  </si>
  <si>
    <t>GPS units on credit from Magellan for</t>
  </si>
  <si>
    <t xml:space="preserve">Check # 5284 was issued for payroll: </t>
  </si>
  <si>
    <t>for salaried and</t>
  </si>
  <si>
    <t xml:space="preserve">docking stations on credit from Samsung for </t>
  </si>
  <si>
    <t>docking stations on credit to Kia for</t>
  </si>
  <si>
    <t>per unit, Invoice #5559.</t>
  </si>
  <si>
    <t>per unit on account to Nissan, Invoice #5557.</t>
  </si>
  <si>
    <t xml:space="preserve">per unit, Invoice 5558. </t>
  </si>
  <si>
    <t>Paid</t>
  </si>
  <si>
    <t>of the</t>
  </si>
  <si>
    <t>owed to JVC from May 25, Check #5285.</t>
  </si>
  <si>
    <t>Received payment from Ford Motor Co. for</t>
  </si>
  <si>
    <t>owed from May 5.</t>
  </si>
  <si>
    <t>Purchased a</t>
  </si>
  <si>
    <t>docking station from Samsung for</t>
  </si>
  <si>
    <t>per unit paying in cash, Check #5288</t>
  </si>
  <si>
    <t>docking stations on credit to Honda for</t>
  </si>
  <si>
    <t>per unit, Invoice 5560.</t>
  </si>
  <si>
    <t>Hired and paid a consultant</t>
  </si>
  <si>
    <t>to devise a marketing plan. AC Speed's management felt this was necessary to develop brand awareness. Check #5289.</t>
  </si>
  <si>
    <t>AC Speed is behind in its mortgage payments to Bank of America. Paid a total of</t>
  </si>
  <si>
    <t>(</t>
  </si>
  <si>
    <t>principal and</t>
  </si>
  <si>
    <t xml:space="preserve">interest), Check #5290. </t>
  </si>
  <si>
    <t>international phone card for one of the sales representative's upcoming European business trip, Check #5286.</t>
  </si>
  <si>
    <t>Student Name:</t>
  </si>
  <si>
    <t>User Name</t>
  </si>
  <si>
    <t>Computer Name</t>
  </si>
  <si>
    <t>Open Time</t>
  </si>
  <si>
    <t>Close Time</t>
  </si>
  <si>
    <t>Open WB Name</t>
  </si>
  <si>
    <t>Close WB Name</t>
  </si>
  <si>
    <t>Andrew</t>
  </si>
  <si>
    <t>ANDREW-PC</t>
  </si>
  <si>
    <t>C:\Users\Andrew\AppData\Local\Temp\ACCT202ProjectSolutionNEW-2.xlsm</t>
  </si>
  <si>
    <t>Account</t>
  </si>
  <si>
    <t>May 31 Balance</t>
  </si>
  <si>
    <t>Salaries Expense (exempt staff)</t>
  </si>
  <si>
    <t>Depreciation Expense - Equipment &amp; Furn - Warehouse</t>
  </si>
  <si>
    <t>Depreciation Expense - Equipment &amp; Furn - Office</t>
  </si>
  <si>
    <t>Cost of Goods Sold (Percentage of Sales)</t>
  </si>
  <si>
    <t>Retained  Earnings</t>
  </si>
  <si>
    <t>C:\Users\Andrew\Desktop\ACCT202ProjectSolutionNEW-2 Combined.xlsm</t>
  </si>
  <si>
    <t>tbergsma</t>
  </si>
  <si>
    <t>LTFACDDTBERGSMA</t>
  </si>
  <si>
    <t>D:\Users\tbergsma\Downloads\ACCT202ProjectSolutionNEW-2 Combined.xlsm</t>
  </si>
  <si>
    <t>a. Before beginning this part of the project, you will find it helpful to review Chapter 17 on financial statement analysis.  Page 707, a summary of ratios, will be particularly useful.</t>
  </si>
  <si>
    <t>Issued a credit to Kia for the return of 350 defective units from the June 2nd sale. These units has a cost basis of $36 per unit.</t>
  </si>
  <si>
    <t xml:space="preserve">Issued bonds payable at face value for $450,000 </t>
  </si>
  <si>
    <t>2%</t>
  </si>
  <si>
    <t>D:\Users\tbergsma\Dropbox\ACCT202 PS W14\ACCT202ProjectSolutionNEW-2 Combined_Rev1.xlsm</t>
  </si>
  <si>
    <t>Tim</t>
  </si>
  <si>
    <t>PCTIMBASEMENT</t>
  </si>
  <si>
    <t>C:\Users\Tim\Dropbox\ACCT202 PS W14\ACCT202ProjectSolutionNEW-2 Combined_Rev1.xlsm</t>
  </si>
  <si>
    <t>CRN:</t>
  </si>
  <si>
    <t>Professor:</t>
  </si>
  <si>
    <t>Dec. 31, 2012</t>
  </si>
  <si>
    <t>Dec. 31, 2011</t>
  </si>
  <si>
    <t>C:\Users\Tim\Dropbox\ACCT202 PS W14\ACCT202_PracticeSet_W14_Solution.xlsm</t>
  </si>
  <si>
    <t>d:\Users\tbergsma\Dropbox\ACCT202 PS W14\ACCT202_PracticeSet_W14_Solution.xlsm</t>
  </si>
  <si>
    <t>D:\Users\tbergsma\Dropbox\ACCT202 PS W14\ACCT202_PracticeSet_W14_Student.xlsm</t>
  </si>
  <si>
    <t>d:\Users\tbergsma\Dropbox\ACCT202 PS W14\ACCT202_PracticeSet_W14_Student.xlsm</t>
  </si>
  <si>
    <t>C:\Users\Tim\Dropbox\ACCT202 PS W14\ACCT202_PracticeSet_W14_Student.xlsm</t>
  </si>
  <si>
    <t>LTCDIN0214PC00</t>
  </si>
  <si>
    <t>D:\Users\tbergsma\Downloads\ACCT202_PracticeSet_W14_Student (5).xlsm</t>
  </si>
  <si>
    <t>d:\Users\tbergsma\Dropbox\ACCT202 PS W14\ACCT202_PracticeSet_W14_Student_Mac.xlsm</t>
  </si>
  <si>
    <t>b. When AC Speed sells merchandise to a customer on account, they offer that customer credit terms of 2/20, net 30</t>
  </si>
  <si>
    <t>*All purchases on account terms of 2/10, n/30</t>
  </si>
  <si>
    <t>**All credit sales have terms of 2/20, n/30</t>
  </si>
  <si>
    <t>TB_PC</t>
  </si>
  <si>
    <t>C:\Users\Tim\Dropbox\ACCT202 PS W14\ACCT202_PracticeSet_W14_Student_Mac.xlsm</t>
  </si>
  <si>
    <t>a. When AC Speed purchases merchandise from a supplier or vendor on account, they receive credit terms of 2/15, net 30.</t>
  </si>
  <si>
    <t>per unit, Invoice #5556.</t>
  </si>
  <si>
    <t xml:space="preserve">DVD players on credit to Ford Motor Co. for </t>
  </si>
  <si>
    <t>for hourly employees</t>
  </si>
  <si>
    <t xml:space="preserve">Check # 5292 was issued for payroll: </t>
  </si>
  <si>
    <t>WINTER 2015</t>
  </si>
  <si>
    <t>Sales Accounts</t>
  </si>
  <si>
    <t>Docking Station Sale</t>
  </si>
  <si>
    <t>DVD Players Sold</t>
  </si>
  <si>
    <t>GPS System Sold</t>
  </si>
  <si>
    <t>Sales Return Fo GPS</t>
  </si>
  <si>
    <t>Purchase Accounts</t>
  </si>
  <si>
    <t>Docking Station Purchases</t>
  </si>
  <si>
    <t>DVD Player Purchases</t>
  </si>
  <si>
    <t>GPS System Purchases</t>
  </si>
  <si>
    <t>Purchases Return of GPS</t>
  </si>
  <si>
    <t>Direct Expenses</t>
  </si>
  <si>
    <t>Wages Paid</t>
  </si>
  <si>
    <t>Indirect Incomes</t>
  </si>
  <si>
    <t>Discount Received</t>
  </si>
  <si>
    <t>Rent Received</t>
  </si>
  <si>
    <t>Indirect Expenses</t>
  </si>
  <si>
    <t>Bad Debts</t>
  </si>
  <si>
    <t>Discount Paid</t>
  </si>
  <si>
    <t>Legal Expenses A/c</t>
  </si>
  <si>
    <t>Marketing Expenses</t>
  </si>
  <si>
    <t>Salary Expenses A/c</t>
  </si>
  <si>
    <t>Telephone Expenses A/c</t>
  </si>
  <si>
    <t>Tour &amp; Travelling Expenses</t>
  </si>
  <si>
    <t>Grand Total</t>
  </si>
  <si>
    <t>om</t>
  </si>
  <si>
    <t>OM-PC</t>
  </si>
  <si>
    <t>C:\Users\om\Desktop\130215  Nikku $75\ML.xlsm</t>
  </si>
</sst>
</file>

<file path=xl/styles.xml><?xml version="1.0" encoding="utf-8"?>
<styleSheet xmlns="http://schemas.openxmlformats.org/spreadsheetml/2006/main">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0.0"/>
    <numFmt numFmtId="167" formatCode="[$-409]mmmm\ d\,\ yyyy;@"/>
    <numFmt numFmtId="168" formatCode="0.0%"/>
    <numFmt numFmtId="169" formatCode="_(* #,##0_);_(* \(#,##0\);_(* &quot;-&quot;??_);_(@_)"/>
    <numFmt numFmtId="170" formatCode="m/d/yy;@"/>
    <numFmt numFmtId="171" formatCode="&quot;&quot;0.00"/>
  </numFmts>
  <fonts count="41">
    <font>
      <sz val="11"/>
      <color theme="1"/>
      <name val="Calibri"/>
      <family val="2"/>
      <scheme val="minor"/>
    </font>
    <font>
      <sz val="10"/>
      <name val="Arial"/>
      <family val="2"/>
    </font>
    <font>
      <sz val="12"/>
      <name val="Arial"/>
      <family val="2"/>
    </font>
    <font>
      <u/>
      <sz val="12"/>
      <name val="Arial"/>
      <family val="2"/>
    </font>
    <font>
      <sz val="11"/>
      <name val="Arial"/>
      <family val="2"/>
    </font>
    <font>
      <b/>
      <sz val="10"/>
      <name val="Arial"/>
      <family val="2"/>
    </font>
    <font>
      <sz val="8"/>
      <name val="Arial"/>
      <family val="2"/>
    </font>
    <font>
      <sz val="11"/>
      <color theme="1"/>
      <name val="Calibri"/>
      <family val="2"/>
      <scheme val="minor"/>
    </font>
    <font>
      <b/>
      <sz val="11"/>
      <color theme="1"/>
      <name val="Calibri"/>
      <family val="2"/>
      <scheme val="minor"/>
    </font>
    <font>
      <b/>
      <u/>
      <sz val="11"/>
      <color theme="1"/>
      <name val="Calibri"/>
      <family val="2"/>
      <scheme val="minor"/>
    </font>
    <font>
      <sz val="9"/>
      <color theme="1"/>
      <name val="Calibri"/>
      <family val="2"/>
      <scheme val="minor"/>
    </font>
    <font>
      <sz val="8"/>
      <color theme="1"/>
      <name val="Calibri"/>
      <family val="2"/>
      <scheme val="minor"/>
    </font>
    <font>
      <sz val="20"/>
      <color theme="1"/>
      <name val="Calibri"/>
      <family val="2"/>
      <scheme val="minor"/>
    </font>
    <font>
      <b/>
      <sz val="8"/>
      <color theme="1"/>
      <name val="Calibri"/>
      <family val="2"/>
      <scheme val="minor"/>
    </font>
    <font>
      <u/>
      <sz val="8"/>
      <color theme="1"/>
      <name val="Calibri"/>
      <family val="2"/>
      <scheme val="minor"/>
    </font>
    <font>
      <u/>
      <sz val="11"/>
      <color theme="1"/>
      <name val="Calibri"/>
      <family val="2"/>
      <scheme val="minor"/>
    </font>
    <font>
      <b/>
      <sz val="11"/>
      <color rgb="FFFF0000"/>
      <name val="Calibri"/>
      <family val="2"/>
      <scheme val="minor"/>
    </font>
    <font>
      <u val="double"/>
      <sz val="11"/>
      <color theme="1"/>
      <name val="Calibri"/>
      <family val="2"/>
      <scheme val="minor"/>
    </font>
    <font>
      <sz val="11"/>
      <name val="Calibri"/>
      <family val="2"/>
      <scheme val="minor"/>
    </font>
    <font>
      <sz val="12"/>
      <color theme="1"/>
      <name val="Calibri"/>
      <family val="2"/>
      <scheme val="minor"/>
    </font>
    <font>
      <b/>
      <sz val="14"/>
      <color theme="1"/>
      <name val="Calibri"/>
      <family val="2"/>
      <scheme val="minor"/>
    </font>
    <font>
      <i/>
      <sz val="11"/>
      <color theme="1"/>
      <name val="Calibri"/>
      <family val="2"/>
      <scheme val="minor"/>
    </font>
    <font>
      <b/>
      <sz val="14"/>
      <color indexed="8"/>
      <name val="Calibri"/>
      <family val="2"/>
    </font>
    <font>
      <sz val="18"/>
      <color theme="1"/>
      <name val="Calibri"/>
      <family val="2"/>
      <scheme val="minor"/>
    </font>
    <font>
      <b/>
      <u/>
      <sz val="8"/>
      <color theme="1"/>
      <name val="Calibri"/>
      <family val="2"/>
      <scheme val="minor"/>
    </font>
    <font>
      <sz val="8"/>
      <color rgb="FFFF0000"/>
      <name val="Calibri"/>
      <family val="2"/>
      <scheme val="minor"/>
    </font>
    <font>
      <b/>
      <sz val="11"/>
      <color indexed="8"/>
      <name val="Calibri"/>
      <family val="2"/>
    </font>
    <font>
      <u/>
      <sz val="11"/>
      <color theme="10"/>
      <name val="Calibri"/>
      <family val="2"/>
      <scheme val="minor"/>
    </font>
    <font>
      <u/>
      <sz val="11"/>
      <color theme="11"/>
      <name val="Calibri"/>
      <family val="2"/>
      <scheme val="minor"/>
    </font>
    <font>
      <b/>
      <sz val="11"/>
      <name val="Calibri"/>
      <family val="2"/>
      <scheme val="minor"/>
    </font>
    <font>
      <sz val="11"/>
      <color theme="0"/>
      <name val="Calibri"/>
      <family val="2"/>
      <scheme val="minor"/>
    </font>
    <font>
      <b/>
      <sz val="18"/>
      <color rgb="FFFF0000"/>
      <name val="Calibri"/>
      <family val="2"/>
      <scheme val="minor"/>
    </font>
    <font>
      <u/>
      <sz val="11"/>
      <name val="Calibri"/>
      <family val="2"/>
      <scheme val="minor"/>
    </font>
    <font>
      <u val="double"/>
      <sz val="11"/>
      <name val="Calibri"/>
      <family val="2"/>
      <scheme val="minor"/>
    </font>
    <font>
      <u val="doubleAccounting"/>
      <sz val="11"/>
      <name val="Calibri"/>
      <family val="2"/>
      <scheme val="minor"/>
    </font>
    <font>
      <b/>
      <sz val="14"/>
      <color theme="0"/>
      <name val="Calibri"/>
      <family val="2"/>
      <scheme val="minor"/>
    </font>
    <font>
      <sz val="10"/>
      <color theme="0"/>
      <name val="Arial"/>
      <family val="2"/>
    </font>
    <font>
      <sz val="8"/>
      <color theme="0"/>
      <name val="Calibri"/>
      <family val="2"/>
      <scheme val="minor"/>
    </font>
    <font>
      <b/>
      <sz val="9"/>
      <color theme="1"/>
      <name val="Arial"/>
      <family val="2"/>
    </font>
    <font>
      <sz val="9"/>
      <color theme="1"/>
      <name val="Arial"/>
      <family val="2"/>
    </font>
    <font>
      <i/>
      <sz val="9"/>
      <color theme="1"/>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theme="6"/>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right/>
      <top style="thin">
        <color auto="1"/>
      </top>
      <bottom style="thin">
        <color indexed="64"/>
      </bottom>
      <diagonal/>
    </border>
  </borders>
  <cellStyleXfs count="95">
    <xf numFmtId="0" fontId="0"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9" fontId="7"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80">
    <xf numFmtId="0" fontId="0" fillId="0" borderId="0" xfId="0"/>
    <xf numFmtId="0" fontId="0" fillId="0" borderId="0" xfId="0" applyAlignment="1">
      <alignment horizontal="center"/>
    </xf>
    <xf numFmtId="0" fontId="8" fillId="0" borderId="0" xfId="0" applyFont="1"/>
    <xf numFmtId="0" fontId="9" fillId="0" borderId="0" xfId="0" applyFont="1" applyAlignment="1">
      <alignment horizontal="center"/>
    </xf>
    <xf numFmtId="0" fontId="0" fillId="0" borderId="0" xfId="0" applyAlignment="1">
      <alignment horizontal="centerContinuous"/>
    </xf>
    <xf numFmtId="0" fontId="8" fillId="0" borderId="0" xfId="0" applyFont="1" applyAlignment="1">
      <alignment horizontal="centerContinuous"/>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xf numFmtId="0" fontId="0" fillId="0" borderId="0" xfId="0" applyFont="1" applyAlignment="1">
      <alignment horizontal="center"/>
    </xf>
    <xf numFmtId="0" fontId="0" fillId="0" borderId="0" xfId="0" applyAlignment="1">
      <alignment wrapText="1"/>
    </xf>
    <xf numFmtId="0" fontId="0" fillId="0" borderId="2" xfId="0" applyBorder="1"/>
    <xf numFmtId="0" fontId="0" fillId="0" borderId="3" xfId="0" applyBorder="1"/>
    <xf numFmtId="0" fontId="0" fillId="0" borderId="3" xfId="0" applyBorder="1" applyAlignment="1">
      <alignment wrapText="1"/>
    </xf>
    <xf numFmtId="0" fontId="8" fillId="0" borderId="4" xfId="0" applyFont="1" applyBorder="1" applyAlignment="1">
      <alignment horizontal="centerContinuous"/>
    </xf>
    <xf numFmtId="0" fontId="8" fillId="0" borderId="5" xfId="0" applyFont="1" applyBorder="1" applyAlignment="1">
      <alignment horizontal="centerContinuous"/>
    </xf>
    <xf numFmtId="0" fontId="0" fillId="0" borderId="6" xfId="0"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7" xfId="0" applyBorder="1" applyAlignment="1">
      <alignment horizontal="center"/>
    </xf>
    <xf numFmtId="0" fontId="0" fillId="0" borderId="0" xfId="0" applyBorder="1"/>
    <xf numFmtId="0" fontId="0" fillId="0" borderId="1" xfId="0" applyBorder="1" applyAlignment="1">
      <alignment wrapText="1"/>
    </xf>
    <xf numFmtId="0" fontId="2" fillId="0" borderId="0" xfId="3" applyFont="1"/>
    <xf numFmtId="0" fontId="3" fillId="0" borderId="1" xfId="3" applyFont="1" applyBorder="1" applyAlignment="1">
      <alignment horizontal="center"/>
    </xf>
    <xf numFmtId="0" fontId="2" fillId="0" borderId="0" xfId="3" applyFont="1" applyAlignment="1">
      <alignment horizontal="center"/>
    </xf>
    <xf numFmtId="0" fontId="4" fillId="0" borderId="1" xfId="3" applyFont="1" applyBorder="1" applyAlignment="1">
      <alignment horizontal="center"/>
    </xf>
    <xf numFmtId="0" fontId="4" fillId="0" borderId="1" xfId="3" applyFont="1" applyBorder="1"/>
    <xf numFmtId="0" fontId="10" fillId="0" borderId="0" xfId="0" applyFont="1"/>
    <xf numFmtId="0" fontId="10" fillId="0" borderId="0" xfId="0" applyFont="1" applyAlignment="1">
      <alignment horizontal="center"/>
    </xf>
    <xf numFmtId="44" fontId="10" fillId="0" borderId="0" xfId="2" applyFont="1" applyAlignment="1">
      <alignment horizontal="center"/>
    </xf>
    <xf numFmtId="0" fontId="10" fillId="0" borderId="0" xfId="0" applyFont="1" applyAlignment="1">
      <alignment horizontal="center" wrapText="1"/>
    </xf>
    <xf numFmtId="0" fontId="10" fillId="0" borderId="1" xfId="0" applyFont="1" applyBorder="1" applyAlignment="1">
      <alignment horizontal="center" wrapText="1"/>
    </xf>
    <xf numFmtId="16" fontId="10" fillId="0" borderId="1" xfId="0" applyNumberFormat="1" applyFont="1" applyBorder="1" applyAlignment="1">
      <alignment horizontal="center"/>
    </xf>
    <xf numFmtId="0" fontId="10" fillId="0" borderId="1" xfId="0" applyFont="1" applyBorder="1" applyAlignment="1">
      <alignment horizontal="center"/>
    </xf>
    <xf numFmtId="0" fontId="10" fillId="0" borderId="0" xfId="0" applyFont="1" applyAlignment="1">
      <alignment horizontal="left"/>
    </xf>
    <xf numFmtId="16" fontId="0" fillId="0" borderId="1" xfId="0" applyNumberFormat="1" applyBorder="1"/>
    <xf numFmtId="44" fontId="7" fillId="0" borderId="1" xfId="2" applyFont="1" applyBorder="1"/>
    <xf numFmtId="44" fontId="7" fillId="0" borderId="1" xfId="2" applyNumberFormat="1" applyFont="1" applyBorder="1"/>
    <xf numFmtId="44" fontId="0" fillId="0" borderId="1" xfId="0" applyNumberFormat="1" applyBorder="1"/>
    <xf numFmtId="0" fontId="0" fillId="0" borderId="0" xfId="0" applyBorder="1" applyAlignment="1">
      <alignment wrapText="1"/>
    </xf>
    <xf numFmtId="0" fontId="1" fillId="0" borderId="0" xfId="3" applyFont="1"/>
    <xf numFmtId="0" fontId="1" fillId="0" borderId="0" xfId="3" applyFont="1" applyBorder="1" applyAlignment="1">
      <alignment horizontal="centerContinuous"/>
    </xf>
    <xf numFmtId="0" fontId="1" fillId="0" borderId="7" xfId="3" applyFont="1" applyBorder="1" applyAlignment="1">
      <alignment horizontal="centerContinuous"/>
    </xf>
    <xf numFmtId="0" fontId="1" fillId="0" borderId="6" xfId="3" applyFont="1" applyBorder="1" applyAlignment="1">
      <alignment horizontal="center"/>
    </xf>
    <xf numFmtId="0" fontId="1" fillId="0" borderId="0" xfId="3" applyFont="1" applyBorder="1"/>
    <xf numFmtId="0" fontId="5" fillId="0" borderId="0" xfId="3" applyFont="1" applyBorder="1" applyAlignment="1">
      <alignment horizontal="centerContinuous"/>
    </xf>
    <xf numFmtId="0" fontId="1" fillId="0" borderId="8" xfId="3" applyFont="1" applyBorder="1" applyAlignment="1">
      <alignment horizontal="center"/>
    </xf>
    <xf numFmtId="0" fontId="1" fillId="0" borderId="9" xfId="3" applyFont="1" applyBorder="1"/>
    <xf numFmtId="0" fontId="5" fillId="0" borderId="9" xfId="3" applyFont="1" applyBorder="1" applyAlignment="1">
      <alignment horizontal="centerContinuous"/>
    </xf>
    <xf numFmtId="0" fontId="1" fillId="0" borderId="9" xfId="3" applyFont="1" applyBorder="1" applyAlignment="1">
      <alignment horizontal="centerContinuous"/>
    </xf>
    <xf numFmtId="0" fontId="1" fillId="0" borderId="10" xfId="3" applyFont="1" applyBorder="1" applyAlignment="1">
      <alignment horizontal="centerContinuous"/>
    </xf>
    <xf numFmtId="0" fontId="11" fillId="0" borderId="0" xfId="0" applyFont="1"/>
    <xf numFmtId="0" fontId="10" fillId="2" borderId="1" xfId="0" applyFont="1" applyFill="1" applyBorder="1" applyAlignment="1">
      <alignment horizontal="center" wrapText="1"/>
    </xf>
    <xf numFmtId="44" fontId="10" fillId="2" borderId="1" xfId="2" applyFont="1" applyFill="1" applyBorder="1" applyAlignment="1">
      <alignment horizontal="center" wrapText="1"/>
    </xf>
    <xf numFmtId="0" fontId="10" fillId="2" borderId="1" xfId="0" applyFont="1" applyFill="1" applyBorder="1" applyAlignment="1">
      <alignment horizontal="center"/>
    </xf>
    <xf numFmtId="44" fontId="10" fillId="2" borderId="1" xfId="2" applyFont="1" applyFill="1" applyBorder="1" applyAlignment="1">
      <alignment horizontal="center"/>
    </xf>
    <xf numFmtId="0" fontId="10" fillId="3" borderId="1" xfId="0" applyFont="1" applyFill="1" applyBorder="1" applyAlignment="1">
      <alignment horizontal="center" wrapText="1"/>
    </xf>
    <xf numFmtId="44" fontId="10" fillId="3" borderId="1" xfId="2" applyFont="1" applyFill="1" applyBorder="1" applyAlignment="1">
      <alignment horizontal="center" wrapText="1"/>
    </xf>
    <xf numFmtId="0" fontId="10" fillId="3" borderId="1" xfId="0" applyFont="1" applyFill="1" applyBorder="1" applyAlignment="1">
      <alignment horizontal="center"/>
    </xf>
    <xf numFmtId="44" fontId="10" fillId="3" borderId="1" xfId="2" applyFont="1" applyFill="1" applyBorder="1" applyAlignment="1">
      <alignment horizontal="center"/>
    </xf>
    <xf numFmtId="0" fontId="10" fillId="4" borderId="1" xfId="0" applyFont="1" applyFill="1" applyBorder="1" applyAlignment="1">
      <alignment horizontal="center" wrapText="1"/>
    </xf>
    <xf numFmtId="44" fontId="10" fillId="4" borderId="1" xfId="2" applyFont="1" applyFill="1" applyBorder="1" applyAlignment="1">
      <alignment horizontal="center" wrapText="1"/>
    </xf>
    <xf numFmtId="0" fontId="10" fillId="4" borderId="1" xfId="0" applyFont="1" applyFill="1" applyBorder="1" applyAlignment="1">
      <alignment horizontal="center"/>
    </xf>
    <xf numFmtId="44" fontId="10" fillId="4" borderId="1" xfId="2" applyFont="1" applyFill="1" applyBorder="1" applyAlignment="1">
      <alignment horizontal="center"/>
    </xf>
    <xf numFmtId="44" fontId="10" fillId="4" borderId="1" xfId="2" quotePrefix="1" applyFont="1" applyFill="1" applyBorder="1" applyAlignment="1">
      <alignment horizontal="center" wrapText="1"/>
    </xf>
    <xf numFmtId="0" fontId="10" fillId="5" borderId="1" xfId="0" applyFont="1" applyFill="1" applyBorder="1" applyAlignment="1">
      <alignment horizontal="center" wrapText="1"/>
    </xf>
    <xf numFmtId="44" fontId="10" fillId="5" borderId="1" xfId="2" applyFont="1" applyFill="1" applyBorder="1" applyAlignment="1">
      <alignment horizontal="center" wrapText="1"/>
    </xf>
    <xf numFmtId="0" fontId="10" fillId="5" borderId="1" xfId="0" applyFont="1" applyFill="1" applyBorder="1" applyAlignment="1">
      <alignment horizontal="center"/>
    </xf>
    <xf numFmtId="44" fontId="10" fillId="5" borderId="1" xfId="2" applyFont="1" applyFill="1" applyBorder="1" applyAlignment="1">
      <alignment horizontal="center"/>
    </xf>
    <xf numFmtId="0" fontId="10" fillId="5" borderId="8" xfId="0" applyFont="1" applyFill="1" applyBorder="1" applyAlignment="1">
      <alignment horizontal="centerContinuous"/>
    </xf>
    <xf numFmtId="44" fontId="10" fillId="5" borderId="9" xfId="2" applyFont="1" applyFill="1" applyBorder="1" applyAlignment="1">
      <alignment horizontal="centerContinuous"/>
    </xf>
    <xf numFmtId="44" fontId="10" fillId="5" borderId="10" xfId="2" applyFont="1" applyFill="1" applyBorder="1" applyAlignment="1">
      <alignment horizontal="centerContinuous"/>
    </xf>
    <xf numFmtId="0" fontId="10" fillId="4" borderId="8" xfId="0" applyFont="1" applyFill="1" applyBorder="1" applyAlignment="1">
      <alignment horizontal="centerContinuous"/>
    </xf>
    <xf numFmtId="44" fontId="10" fillId="4" borderId="9" xfId="2" applyFont="1" applyFill="1" applyBorder="1" applyAlignment="1">
      <alignment horizontal="centerContinuous"/>
    </xf>
    <xf numFmtId="44" fontId="10" fillId="4" borderId="10" xfId="2" applyFont="1" applyFill="1" applyBorder="1" applyAlignment="1">
      <alignment horizontal="centerContinuous"/>
    </xf>
    <xf numFmtId="0" fontId="10" fillId="3" borderId="8" xfId="0" applyFont="1" applyFill="1" applyBorder="1" applyAlignment="1">
      <alignment horizontal="centerContinuous"/>
    </xf>
    <xf numFmtId="44" fontId="10" fillId="3" borderId="9" xfId="2" applyFont="1" applyFill="1" applyBorder="1" applyAlignment="1">
      <alignment horizontal="centerContinuous"/>
    </xf>
    <xf numFmtId="44" fontId="10" fillId="3" borderId="10" xfId="2" applyFont="1" applyFill="1" applyBorder="1" applyAlignment="1">
      <alignment horizontal="centerContinuous"/>
    </xf>
    <xf numFmtId="0" fontId="10" fillId="2" borderId="8" xfId="0" applyFont="1" applyFill="1" applyBorder="1" applyAlignment="1">
      <alignment horizontal="centerContinuous"/>
    </xf>
    <xf numFmtId="44" fontId="10" fillId="2" borderId="9" xfId="2" applyFont="1" applyFill="1" applyBorder="1" applyAlignment="1">
      <alignment horizontal="centerContinuous"/>
    </xf>
    <xf numFmtId="44" fontId="10" fillId="2" borderId="10" xfId="2" applyFont="1" applyFill="1" applyBorder="1" applyAlignment="1">
      <alignment horizontal="centerContinuous"/>
    </xf>
    <xf numFmtId="0" fontId="8" fillId="0" borderId="0" xfId="0" applyFont="1" applyAlignment="1">
      <alignment horizontal="center"/>
    </xf>
    <xf numFmtId="16" fontId="0" fillId="0" borderId="1" xfId="0" applyNumberFormat="1" applyBorder="1" applyAlignment="1">
      <alignment horizontal="center"/>
    </xf>
    <xf numFmtId="164" fontId="7" fillId="0" borderId="1" xfId="2" applyNumberFormat="1" applyFont="1" applyBorder="1"/>
    <xf numFmtId="165" fontId="7" fillId="0" borderId="1" xfId="2" applyNumberFormat="1" applyFont="1" applyBorder="1"/>
    <xf numFmtId="165" fontId="0" fillId="0" borderId="1" xfId="0" applyNumberFormat="1" applyBorder="1"/>
    <xf numFmtId="0" fontId="0" fillId="0" borderId="0" xfId="0" applyFill="1"/>
    <xf numFmtId="167" fontId="2" fillId="2" borderId="0" xfId="3" applyNumberFormat="1" applyFont="1" applyFill="1" applyAlignment="1">
      <alignment horizontal="centerContinuous"/>
    </xf>
    <xf numFmtId="0" fontId="5" fillId="2" borderId="0" xfId="3" applyFont="1" applyFill="1" applyBorder="1" applyAlignment="1">
      <alignment horizontal="centerContinuous"/>
    </xf>
    <xf numFmtId="0" fontId="1" fillId="2" borderId="0" xfId="3" applyFont="1" applyFill="1" applyBorder="1" applyAlignment="1">
      <alignment horizontal="centerContinuous"/>
    </xf>
    <xf numFmtId="0" fontId="5" fillId="2" borderId="9" xfId="3" applyFont="1" applyFill="1" applyBorder="1" applyAlignment="1">
      <alignment horizontal="centerContinuous"/>
    </xf>
    <xf numFmtId="0" fontId="1" fillId="2" borderId="9" xfId="3" applyFont="1" applyFill="1" applyBorder="1" applyAlignment="1">
      <alignment horizontal="centerContinuous"/>
    </xf>
    <xf numFmtId="167" fontId="2" fillId="3" borderId="0" xfId="3" applyNumberFormat="1" applyFont="1" applyFill="1" applyAlignment="1">
      <alignment horizontal="centerContinuous"/>
    </xf>
    <xf numFmtId="0" fontId="5" fillId="3" borderId="0" xfId="3" applyFont="1" applyFill="1" applyBorder="1" applyAlignment="1">
      <alignment horizontal="centerContinuous"/>
    </xf>
    <xf numFmtId="0" fontId="1" fillId="3" borderId="0" xfId="3" applyFont="1" applyFill="1" applyBorder="1" applyAlignment="1">
      <alignment horizontal="centerContinuous"/>
    </xf>
    <xf numFmtId="0" fontId="5" fillId="3" borderId="9" xfId="3" applyFont="1" applyFill="1" applyBorder="1" applyAlignment="1">
      <alignment horizontal="centerContinuous"/>
    </xf>
    <xf numFmtId="0" fontId="1" fillId="3" borderId="9" xfId="3" applyFont="1" applyFill="1" applyBorder="1" applyAlignment="1">
      <alignment horizontal="centerContinuous"/>
    </xf>
    <xf numFmtId="167" fontId="2" fillId="4" borderId="0" xfId="3" applyNumberFormat="1" applyFont="1" applyFill="1" applyAlignment="1">
      <alignment horizontal="centerContinuous"/>
    </xf>
    <xf numFmtId="0" fontId="5" fillId="4" borderId="0" xfId="3" applyFont="1" applyFill="1" applyBorder="1" applyAlignment="1">
      <alignment horizontal="centerContinuous"/>
    </xf>
    <xf numFmtId="0" fontId="1" fillId="4" borderId="0" xfId="3" applyFont="1" applyFill="1" applyBorder="1" applyAlignment="1">
      <alignment horizontal="centerContinuous"/>
    </xf>
    <xf numFmtId="0" fontId="5" fillId="4" borderId="9" xfId="3" applyFont="1" applyFill="1" applyBorder="1" applyAlignment="1">
      <alignment horizontal="centerContinuous"/>
    </xf>
    <xf numFmtId="0" fontId="1" fillId="4" borderId="9" xfId="3" applyFont="1" applyFill="1" applyBorder="1" applyAlignment="1">
      <alignment horizontal="centerContinuous"/>
    </xf>
    <xf numFmtId="167" fontId="2" fillId="6" borderId="0" xfId="3" applyNumberFormat="1" applyFont="1" applyFill="1" applyAlignment="1">
      <alignment horizontal="centerContinuous"/>
    </xf>
    <xf numFmtId="0" fontId="5" fillId="6" borderId="0" xfId="3" applyFont="1" applyFill="1" applyBorder="1" applyAlignment="1">
      <alignment horizontal="centerContinuous"/>
    </xf>
    <xf numFmtId="0" fontId="1" fillId="6" borderId="0" xfId="3" applyFont="1" applyFill="1" applyBorder="1" applyAlignment="1">
      <alignment horizontal="centerContinuous"/>
    </xf>
    <xf numFmtId="0" fontId="5" fillId="6" borderId="9" xfId="3" applyFont="1" applyFill="1" applyBorder="1" applyAlignment="1">
      <alignment horizontal="centerContinuous"/>
    </xf>
    <xf numFmtId="0" fontId="1" fillId="6" borderId="9" xfId="3" applyFont="1" applyFill="1" applyBorder="1" applyAlignment="1">
      <alignment horizontal="centerContinuous"/>
    </xf>
    <xf numFmtId="0" fontId="13" fillId="0" borderId="0" xfId="0" applyFont="1" applyAlignment="1">
      <alignment horizontal="centerContinuous"/>
    </xf>
    <xf numFmtId="0" fontId="11" fillId="0" borderId="0" xfId="0" applyFont="1" applyBorder="1"/>
    <xf numFmtId="14" fontId="11" fillId="0" borderId="0" xfId="0" applyNumberFormat="1" applyFont="1" applyBorder="1" applyAlignment="1">
      <alignment horizontal="center"/>
    </xf>
    <xf numFmtId="14" fontId="11" fillId="0" borderId="9" xfId="0" applyNumberFormat="1" applyFont="1" applyBorder="1" applyAlignment="1">
      <alignment horizontal="center"/>
    </xf>
    <xf numFmtId="9" fontId="2" fillId="0" borderId="0" xfId="4" applyFont="1"/>
    <xf numFmtId="3" fontId="15" fillId="0" borderId="1" xfId="0" applyNumberFormat="1" applyFont="1" applyBorder="1"/>
    <xf numFmtId="3" fontId="0" fillId="0" borderId="1" xfId="0" applyNumberFormat="1" applyBorder="1"/>
    <xf numFmtId="3" fontId="0" fillId="0" borderId="0" xfId="0" applyNumberFormat="1"/>
    <xf numFmtId="3" fontId="2" fillId="0" borderId="0" xfId="3" applyNumberFormat="1" applyFont="1"/>
    <xf numFmtId="0" fontId="0" fillId="0" borderId="12" xfId="0" applyBorder="1"/>
    <xf numFmtId="16" fontId="0" fillId="0" borderId="12" xfId="0" applyNumberFormat="1" applyBorder="1"/>
    <xf numFmtId="0" fontId="0" fillId="0" borderId="1" xfId="0" applyFill="1" applyBorder="1"/>
    <xf numFmtId="0" fontId="1" fillId="0" borderId="9" xfId="3" quotePrefix="1" applyFont="1" applyBorder="1"/>
    <xf numFmtId="0" fontId="0" fillId="0" borderId="0" xfId="0" quotePrefix="1" applyFill="1"/>
    <xf numFmtId="164" fontId="7" fillId="0" borderId="1" xfId="2" applyNumberFormat="1" applyFont="1" applyFill="1" applyBorder="1"/>
    <xf numFmtId="0" fontId="4" fillId="0" borderId="1" xfId="3" applyFont="1" applyFill="1" applyBorder="1" applyAlignment="1">
      <alignment horizontal="left"/>
    </xf>
    <xf numFmtId="0" fontId="4" fillId="0" borderId="1" xfId="3" applyFont="1" applyFill="1" applyBorder="1"/>
    <xf numFmtId="0" fontId="6" fillId="0" borderId="1" xfId="3" applyFont="1" applyFill="1" applyBorder="1" applyAlignment="1">
      <alignment horizontal="left"/>
    </xf>
    <xf numFmtId="0" fontId="1" fillId="0" borderId="8" xfId="3" applyFont="1" applyFill="1" applyBorder="1" applyAlignment="1">
      <alignment horizontal="center"/>
    </xf>
    <xf numFmtId="0" fontId="0" fillId="0" borderId="0" xfId="0" applyBorder="1" applyAlignment="1">
      <alignment horizontal="centerContinuous"/>
    </xf>
    <xf numFmtId="0" fontId="0" fillId="0" borderId="9" xfId="0" applyBorder="1" applyAlignment="1">
      <alignment horizontal="centerContinuous"/>
    </xf>
    <xf numFmtId="3" fontId="17" fillId="0" borderId="1" xfId="0" applyNumberFormat="1" applyFont="1" applyBorder="1"/>
    <xf numFmtId="167" fontId="8" fillId="0" borderId="0" xfId="0" applyNumberFormat="1" applyFont="1" applyBorder="1" applyAlignment="1">
      <alignment horizontal="centerContinuous"/>
    </xf>
    <xf numFmtId="0" fontId="8" fillId="0" borderId="0" xfId="0" applyFont="1" applyBorder="1" applyAlignment="1">
      <alignment horizontal="centerContinuous"/>
    </xf>
    <xf numFmtId="0" fontId="0" fillId="0" borderId="0" xfId="0" applyFill="1" applyBorder="1" applyAlignment="1">
      <alignment horizontal="center"/>
    </xf>
    <xf numFmtId="0" fontId="18" fillId="0" borderId="1" xfId="0" applyFont="1" applyBorder="1"/>
    <xf numFmtId="0" fontId="15" fillId="0" borderId="1" xfId="0" applyFont="1" applyBorder="1" applyAlignment="1">
      <alignment horizontal="center"/>
    </xf>
    <xf numFmtId="0" fontId="8" fillId="0" borderId="0" xfId="0" applyFont="1" applyAlignment="1">
      <alignment horizontal="left"/>
    </xf>
    <xf numFmtId="0" fontId="0" fillId="0" borderId="0" xfId="0"/>
    <xf numFmtId="14" fontId="0" fillId="0" borderId="0" xfId="0" applyNumberFormat="1" applyBorder="1" applyAlignment="1">
      <alignment horizontal="center"/>
    </xf>
    <xf numFmtId="1" fontId="0" fillId="0" borderId="0" xfId="0" applyNumberFormat="1"/>
    <xf numFmtId="44" fontId="7" fillId="0" borderId="1" xfId="2" applyFont="1" applyFill="1" applyBorder="1"/>
    <xf numFmtId="0" fontId="0" fillId="0" borderId="1" xfId="0" applyFill="1" applyBorder="1" applyAlignment="1">
      <alignment wrapText="1"/>
    </xf>
    <xf numFmtId="44" fontId="0" fillId="0" borderId="1" xfId="0" applyNumberFormat="1" applyFill="1" applyBorder="1"/>
    <xf numFmtId="44" fontId="7" fillId="0" borderId="0" xfId="2" applyFont="1" applyFill="1"/>
    <xf numFmtId="44" fontId="15" fillId="0" borderId="1" xfId="2" applyFont="1" applyBorder="1"/>
    <xf numFmtId="0" fontId="20" fillId="0" borderId="14" xfId="0" applyFont="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8" fillId="7" borderId="15" xfId="0" applyFont="1" applyFill="1" applyBorder="1" applyAlignment="1">
      <alignment horizontal="left" wrapText="1"/>
    </xf>
    <xf numFmtId="0" fontId="0" fillId="0" borderId="16" xfId="0" applyBorder="1" applyAlignment="1">
      <alignment horizontal="left" wrapText="1" indent="2"/>
    </xf>
    <xf numFmtId="3" fontId="1" fillId="0" borderId="1" xfId="3" applyNumberFormat="1" applyFont="1" applyFill="1" applyBorder="1"/>
    <xf numFmtId="3" fontId="1" fillId="0" borderId="11" xfId="3" applyNumberFormat="1" applyFont="1" applyFill="1" applyBorder="1"/>
    <xf numFmtId="14" fontId="11" fillId="0" borderId="0" xfId="0" applyNumberFormat="1" applyFont="1"/>
    <xf numFmtId="0" fontId="24" fillId="0" borderId="0" xfId="0" applyFont="1"/>
    <xf numFmtId="0" fontId="25" fillId="0" borderId="0" xfId="0" applyFont="1"/>
    <xf numFmtId="166" fontId="11" fillId="0" borderId="0" xfId="0" applyNumberFormat="1" applyFont="1"/>
    <xf numFmtId="3" fontId="11" fillId="0" borderId="0" xfId="0" applyNumberFormat="1" applyFont="1"/>
    <xf numFmtId="169" fontId="11" fillId="0" borderId="0" xfId="1" applyNumberFormat="1" applyFont="1"/>
    <xf numFmtId="10" fontId="11" fillId="0" borderId="0" xfId="4" applyNumberFormat="1" applyFont="1"/>
    <xf numFmtId="168" fontId="11" fillId="0" borderId="0" xfId="4" applyNumberFormat="1" applyFont="1"/>
    <xf numFmtId="0" fontId="11" fillId="0" borderId="0" xfId="0" applyFont="1" applyFill="1"/>
    <xf numFmtId="43" fontId="11" fillId="0" borderId="0" xfId="0" applyNumberFormat="1" applyFont="1"/>
    <xf numFmtId="43" fontId="11" fillId="0" borderId="0" xfId="1" applyNumberFormat="1" applyFont="1"/>
    <xf numFmtId="43" fontId="11" fillId="0" borderId="0" xfId="1" applyFont="1"/>
    <xf numFmtId="49" fontId="0" fillId="0" borderId="0" xfId="0" applyNumberFormat="1" applyAlignment="1">
      <alignment vertical="top"/>
    </xf>
    <xf numFmtId="0" fontId="0" fillId="0" borderId="0" xfId="0" applyAlignment="1"/>
    <xf numFmtId="16" fontId="0" fillId="0" borderId="16" xfId="0" applyNumberFormat="1" applyBorder="1"/>
    <xf numFmtId="0" fontId="0" fillId="0" borderId="16" xfId="0" applyBorder="1"/>
    <xf numFmtId="44" fontId="7" fillId="0" borderId="16" xfId="2" applyFont="1" applyBorder="1"/>
    <xf numFmtId="0" fontId="0" fillId="0" borderId="16" xfId="0" applyBorder="1" applyAlignment="1">
      <alignment horizontal="center"/>
    </xf>
    <xf numFmtId="44" fontId="7" fillId="0" borderId="16" xfId="2" applyFont="1" applyFill="1" applyBorder="1"/>
    <xf numFmtId="0" fontId="0" fillId="0" borderId="0" xfId="0" applyAlignment="1">
      <alignment vertical="top" wrapText="1"/>
    </xf>
    <xf numFmtId="16" fontId="0" fillId="0" borderId="16" xfId="0" applyNumberFormat="1" applyBorder="1" applyAlignment="1">
      <alignment horizontal="center"/>
    </xf>
    <xf numFmtId="0" fontId="0" fillId="0" borderId="1" xfId="0" applyFill="1" applyBorder="1" applyAlignment="1">
      <alignment horizontal="center"/>
    </xf>
    <xf numFmtId="0" fontId="0" fillId="0" borderId="0" xfId="0" applyFill="1" applyAlignment="1">
      <alignment wrapText="1"/>
    </xf>
    <xf numFmtId="0" fontId="0" fillId="0" borderId="13" xfId="0" applyFill="1" applyBorder="1"/>
    <xf numFmtId="0" fontId="0" fillId="0" borderId="0" xfId="0" applyFill="1" applyAlignment="1"/>
    <xf numFmtId="0" fontId="0" fillId="0" borderId="0" xfId="0" applyFill="1" applyAlignment="1">
      <alignment vertical="top" wrapText="1"/>
    </xf>
    <xf numFmtId="16" fontId="0" fillId="0" borderId="1" xfId="0" applyNumberFormat="1" applyFill="1" applyBorder="1"/>
    <xf numFmtId="44" fontId="0" fillId="0" borderId="1" xfId="2" applyFont="1" applyBorder="1"/>
    <xf numFmtId="44" fontId="0" fillId="0" borderId="1" xfId="2" applyFont="1" applyFill="1" applyBorder="1"/>
    <xf numFmtId="44" fontId="7" fillId="0" borderId="1" xfId="2" applyNumberFormat="1" applyFont="1" applyFill="1" applyBorder="1"/>
    <xf numFmtId="3" fontId="0" fillId="0" borderId="1" xfId="0" applyNumberFormat="1" applyFill="1" applyBorder="1"/>
    <xf numFmtId="0" fontId="0" fillId="0" borderId="0" xfId="0" applyFill="1" applyAlignment="1">
      <alignment horizontal="center"/>
    </xf>
    <xf numFmtId="0" fontId="0" fillId="0" borderId="2" xfId="0" applyFill="1" applyBorder="1"/>
    <xf numFmtId="0" fontId="0" fillId="0" borderId="3" xfId="0" applyFill="1" applyBorder="1" applyAlignment="1">
      <alignment wrapText="1"/>
    </xf>
    <xf numFmtId="0" fontId="8" fillId="0" borderId="4" xfId="0" applyFont="1" applyFill="1" applyBorder="1" applyAlignment="1">
      <alignment horizontal="centerContinuous"/>
    </xf>
    <xf numFmtId="0" fontId="8" fillId="0" borderId="5" xfId="0" applyFont="1" applyFill="1" applyBorder="1" applyAlignment="1">
      <alignment horizontal="centerContinuous"/>
    </xf>
    <xf numFmtId="0" fontId="0" fillId="0" borderId="6" xfId="0" applyFill="1" applyBorder="1" applyAlignment="1">
      <alignment horizontal="center"/>
    </xf>
    <xf numFmtId="0" fontId="0" fillId="0" borderId="0" xfId="0" applyFill="1" applyBorder="1" applyAlignment="1">
      <alignment horizontal="center" wrapText="1"/>
    </xf>
    <xf numFmtId="0" fontId="0" fillId="0" borderId="7" xfId="0" applyFill="1" applyBorder="1" applyAlignment="1">
      <alignment horizontal="center"/>
    </xf>
    <xf numFmtId="44" fontId="0" fillId="0" borderId="1" xfId="2" applyFont="1" applyFill="1" applyBorder="1" applyAlignment="1">
      <alignment wrapText="1"/>
    </xf>
    <xf numFmtId="44" fontId="0" fillId="0" borderId="16" xfId="0" applyNumberFormat="1" applyBorder="1"/>
    <xf numFmtId="44" fontId="0" fillId="0" borderId="0" xfId="0" applyNumberFormat="1"/>
    <xf numFmtId="0" fontId="0" fillId="0" borderId="0" xfId="0" applyAlignment="1">
      <alignment horizontal="left" indent="9"/>
    </xf>
    <xf numFmtId="0" fontId="0" fillId="0" borderId="0" xfId="0" applyNumberFormat="1" applyAlignment="1">
      <alignment vertical="top"/>
    </xf>
    <xf numFmtId="0" fontId="0" fillId="0" borderId="18" xfId="0" applyBorder="1"/>
    <xf numFmtId="1" fontId="0" fillId="0" borderId="1" xfId="0" applyNumberFormat="1" applyBorder="1"/>
    <xf numFmtId="164" fontId="7" fillId="0" borderId="16" xfId="2" applyNumberFormat="1" applyFont="1" applyBorder="1"/>
    <xf numFmtId="164" fontId="7" fillId="0" borderId="16" xfId="2" applyNumberFormat="1" applyFont="1" applyFill="1" applyBorder="1"/>
    <xf numFmtId="0" fontId="3" fillId="0" borderId="16" xfId="3" applyFont="1" applyBorder="1" applyAlignment="1">
      <alignment horizontal="center"/>
    </xf>
    <xf numFmtId="0" fontId="3" fillId="2" borderId="16" xfId="3" applyFont="1" applyFill="1" applyBorder="1" applyAlignment="1">
      <alignment horizontal="center"/>
    </xf>
    <xf numFmtId="0" fontId="3" fillId="3" borderId="16" xfId="3" applyFont="1" applyFill="1" applyBorder="1" applyAlignment="1">
      <alignment horizontal="center"/>
    </xf>
    <xf numFmtId="0" fontId="3" fillId="4" borderId="16" xfId="3" applyFont="1" applyFill="1" applyBorder="1" applyAlignment="1">
      <alignment horizontal="center"/>
    </xf>
    <xf numFmtId="0" fontId="3" fillId="6" borderId="16" xfId="3" applyFont="1" applyFill="1" applyBorder="1" applyAlignment="1">
      <alignment horizontal="center"/>
    </xf>
    <xf numFmtId="0" fontId="4" fillId="0" borderId="16" xfId="3" applyFont="1" applyBorder="1" applyAlignment="1">
      <alignment horizontal="center"/>
    </xf>
    <xf numFmtId="0" fontId="4" fillId="0" borderId="16" xfId="3" applyFont="1" applyBorder="1" applyAlignment="1">
      <alignment horizontal="left"/>
    </xf>
    <xf numFmtId="3" fontId="1" fillId="2" borderId="16" xfId="3" applyNumberFormat="1" applyFont="1" applyFill="1" applyBorder="1"/>
    <xf numFmtId="3" fontId="1" fillId="3" borderId="16" xfId="3" applyNumberFormat="1" applyFont="1" applyFill="1" applyBorder="1"/>
    <xf numFmtId="3" fontId="1" fillId="4" borderId="16" xfId="3" applyNumberFormat="1" applyFont="1" applyFill="1" applyBorder="1"/>
    <xf numFmtId="3" fontId="1" fillId="6" borderId="16" xfId="3" applyNumberFormat="1" applyFont="1" applyFill="1" applyBorder="1"/>
    <xf numFmtId="0" fontId="4" fillId="0" borderId="16" xfId="3" applyFont="1" applyBorder="1"/>
    <xf numFmtId="0" fontId="6" fillId="0" borderId="16" xfId="3" applyFont="1" applyBorder="1" applyAlignment="1">
      <alignment horizontal="left"/>
    </xf>
    <xf numFmtId="3" fontId="1" fillId="6" borderId="17" xfId="3" applyNumberFormat="1" applyFont="1" applyFill="1" applyBorder="1"/>
    <xf numFmtId="0" fontId="11" fillId="0" borderId="16" xfId="0" applyFont="1" applyBorder="1"/>
    <xf numFmtId="3" fontId="11" fillId="0" borderId="16" xfId="0" applyNumberFormat="1" applyFont="1" applyBorder="1"/>
    <xf numFmtId="3" fontId="14" fillId="0" borderId="16" xfId="0" applyNumberFormat="1" applyFont="1" applyBorder="1"/>
    <xf numFmtId="0" fontId="19" fillId="0" borderId="16" xfId="0" applyFont="1" applyBorder="1"/>
    <xf numFmtId="3" fontId="19" fillId="0" borderId="16" xfId="0" applyNumberFormat="1" applyFont="1" applyBorder="1"/>
    <xf numFmtId="43" fontId="19" fillId="0" borderId="16" xfId="1" applyFont="1" applyBorder="1"/>
    <xf numFmtId="3" fontId="0" fillId="0" borderId="16" xfId="0" applyNumberFormat="1" applyBorder="1"/>
    <xf numFmtId="3" fontId="15" fillId="0" borderId="16" xfId="0" applyNumberFormat="1" applyFont="1" applyBorder="1"/>
    <xf numFmtId="0" fontId="8" fillId="0" borderId="16" xfId="0" applyFont="1" applyBorder="1"/>
    <xf numFmtId="44" fontId="7" fillId="0" borderId="15" xfId="2" applyFont="1" applyFill="1" applyBorder="1"/>
    <xf numFmtId="44" fontId="7" fillId="0" borderId="15" xfId="2" applyFont="1" applyBorder="1"/>
    <xf numFmtId="44" fontId="7" fillId="0" borderId="19" xfId="2" applyFont="1" applyBorder="1"/>
    <xf numFmtId="44" fontId="7" fillId="0" borderId="16" xfId="0" applyNumberFormat="1" applyFont="1" applyBorder="1"/>
    <xf numFmtId="44" fontId="0" fillId="0" borderId="15" xfId="0" applyNumberFormat="1" applyBorder="1"/>
    <xf numFmtId="44" fontId="7" fillId="0" borderId="17" xfId="2" applyFont="1" applyBorder="1"/>
    <xf numFmtId="44" fontId="0" fillId="0" borderId="17" xfId="0" applyNumberFormat="1" applyBorder="1"/>
    <xf numFmtId="44" fontId="0" fillId="0" borderId="19" xfId="0" applyNumberFormat="1" applyBorder="1"/>
    <xf numFmtId="16" fontId="10" fillId="0" borderId="16" xfId="0" applyNumberFormat="1" applyFont="1" applyBorder="1" applyAlignment="1">
      <alignment horizontal="center"/>
    </xf>
    <xf numFmtId="0" fontId="10" fillId="2" borderId="16" xfId="0" applyFont="1" applyFill="1" applyBorder="1" applyAlignment="1">
      <alignment horizontal="center"/>
    </xf>
    <xf numFmtId="44" fontId="10" fillId="2" borderId="16" xfId="2" applyFont="1" applyFill="1" applyBorder="1" applyAlignment="1">
      <alignment horizontal="center"/>
    </xf>
    <xf numFmtId="0" fontId="10" fillId="3" borderId="16" xfId="0" applyFont="1" applyFill="1" applyBorder="1" applyAlignment="1">
      <alignment horizontal="center"/>
    </xf>
    <xf numFmtId="44" fontId="10" fillId="3" borderId="16" xfId="2" applyFont="1" applyFill="1" applyBorder="1" applyAlignment="1">
      <alignment horizontal="center"/>
    </xf>
    <xf numFmtId="44" fontId="10" fillId="4" borderId="15" xfId="2" applyFont="1" applyFill="1" applyBorder="1" applyAlignment="1">
      <alignment horizontal="center"/>
    </xf>
    <xf numFmtId="44" fontId="10" fillId="4" borderId="19" xfId="2" applyFont="1" applyFill="1" applyBorder="1" applyAlignment="1">
      <alignment horizontal="center"/>
    </xf>
    <xf numFmtId="49" fontId="0" fillId="0" borderId="0" xfId="0" applyNumberFormat="1" applyFill="1" applyAlignment="1">
      <alignment vertical="top"/>
    </xf>
    <xf numFmtId="0" fontId="0" fillId="0" borderId="0" xfId="0" applyProtection="1"/>
    <xf numFmtId="0" fontId="26" fillId="0" borderId="0" xfId="0" applyFont="1" applyProtection="1"/>
    <xf numFmtId="169" fontId="11" fillId="0" borderId="0" xfId="1" applyNumberFormat="1" applyFont="1" applyFill="1"/>
    <xf numFmtId="14" fontId="15" fillId="0" borderId="0" xfId="0" applyNumberFormat="1" applyFont="1" applyAlignment="1">
      <alignment horizontal="center"/>
    </xf>
    <xf numFmtId="4" fontId="1" fillId="0" borderId="1" xfId="3" applyNumberFormat="1" applyFont="1" applyFill="1" applyBorder="1"/>
    <xf numFmtId="44" fontId="0" fillId="0" borderId="0" xfId="2" applyFont="1"/>
    <xf numFmtId="0" fontId="0" fillId="8" borderId="0" xfId="0" applyFill="1"/>
    <xf numFmtId="44" fontId="0" fillId="8" borderId="0" xfId="2" applyFont="1" applyFill="1"/>
    <xf numFmtId="168" fontId="0" fillId="8" borderId="0" xfId="4" applyNumberFormat="1" applyFont="1" applyFill="1"/>
    <xf numFmtId="0" fontId="0" fillId="0" borderId="0" xfId="0" applyFill="1" applyBorder="1"/>
    <xf numFmtId="0" fontId="0" fillId="0" borderId="0" xfId="0" applyFill="1" applyBorder="1" applyAlignment="1">
      <alignment wrapText="1"/>
    </xf>
    <xf numFmtId="0" fontId="8" fillId="9" borderId="0" xfId="0" applyFont="1" applyFill="1"/>
    <xf numFmtId="0" fontId="8" fillId="9" borderId="0" xfId="0" applyFont="1" applyFill="1" applyAlignment="1">
      <alignment wrapText="1"/>
    </xf>
    <xf numFmtId="0" fontId="13" fillId="9" borderId="0" xfId="0" applyFont="1" applyFill="1"/>
    <xf numFmtId="44" fontId="0" fillId="0" borderId="0" xfId="2" applyFont="1" applyFill="1"/>
    <xf numFmtId="0" fontId="0" fillId="10" borderId="0" xfId="0" applyFill="1" applyAlignment="1">
      <alignment wrapText="1"/>
    </xf>
    <xf numFmtId="0" fontId="0" fillId="10" borderId="0" xfId="0" applyFill="1" applyAlignment="1">
      <alignment vertical="top" wrapText="1"/>
    </xf>
    <xf numFmtId="0" fontId="0" fillId="10" borderId="0" xfId="0" applyFill="1" applyAlignment="1"/>
    <xf numFmtId="0" fontId="0" fillId="0" borderId="0" xfId="0" applyFill="1" applyAlignment="1">
      <alignment horizontal="left" indent="9"/>
    </xf>
    <xf numFmtId="0" fontId="26" fillId="0" borderId="0" xfId="0" applyFont="1" applyFill="1" applyProtection="1"/>
    <xf numFmtId="44" fontId="0" fillId="0" borderId="0" xfId="0" applyNumberFormat="1" applyFill="1" applyAlignment="1">
      <alignment wrapText="1"/>
    </xf>
    <xf numFmtId="44" fontId="0" fillId="11" borderId="0" xfId="0" applyNumberFormat="1" applyFill="1" applyAlignment="1">
      <alignment wrapText="1"/>
    </xf>
    <xf numFmtId="44" fontId="0" fillId="12" borderId="0" xfId="2" applyFont="1" applyFill="1"/>
    <xf numFmtId="44" fontId="0" fillId="12" borderId="0" xfId="0" applyNumberFormat="1" applyFill="1"/>
    <xf numFmtId="0" fontId="0" fillId="12" borderId="0" xfId="0" applyFill="1"/>
    <xf numFmtId="0" fontId="8" fillId="11" borderId="0" xfId="0" applyFont="1" applyFill="1"/>
    <xf numFmtId="0" fontId="8" fillId="8" borderId="0" xfId="0" applyFont="1" applyFill="1" applyAlignment="1">
      <alignment horizontal="center"/>
    </xf>
    <xf numFmtId="44" fontId="0" fillId="0" borderId="0" xfId="2" applyNumberFormat="1" applyFont="1" applyFill="1"/>
    <xf numFmtId="44" fontId="0" fillId="0" borderId="0" xfId="0" applyNumberFormat="1" applyAlignment="1"/>
    <xf numFmtId="44" fontId="0" fillId="0" borderId="0" xfId="0" applyNumberFormat="1" applyAlignment="1">
      <alignment wrapText="1"/>
    </xf>
    <xf numFmtId="44" fontId="0" fillId="0" borderId="0" xfId="0" applyNumberFormat="1" applyFill="1" applyAlignment="1">
      <alignment vertical="top" wrapText="1"/>
    </xf>
    <xf numFmtId="44" fontId="0" fillId="11" borderId="0" xfId="2" applyFont="1" applyFill="1" applyAlignment="1">
      <alignment vertical="top" wrapText="1"/>
    </xf>
    <xf numFmtId="44" fontId="0" fillId="11" borderId="0" xfId="0" applyNumberFormat="1" applyFill="1" applyAlignment="1">
      <alignment vertical="top" wrapText="1"/>
    </xf>
    <xf numFmtId="0" fontId="0" fillId="13" borderId="0" xfId="0" applyFill="1"/>
    <xf numFmtId="44" fontId="0" fillId="13" borderId="0" xfId="2" applyNumberFormat="1" applyFont="1" applyFill="1"/>
    <xf numFmtId="0" fontId="18" fillId="14" borderId="0" xfId="0" applyFont="1" applyFill="1"/>
    <xf numFmtId="0" fontId="18" fillId="0" borderId="0" xfId="0" applyFont="1" applyFill="1" applyAlignment="1"/>
    <xf numFmtId="0" fontId="18" fillId="0" borderId="0" xfId="0" applyFont="1" applyFill="1"/>
    <xf numFmtId="49" fontId="0" fillId="8" borderId="0" xfId="0" applyNumberFormat="1" applyFill="1"/>
    <xf numFmtId="0" fontId="0" fillId="4" borderId="0" xfId="0" applyFill="1" applyAlignment="1">
      <alignment wrapText="1"/>
    </xf>
    <xf numFmtId="0" fontId="0" fillId="15" borderId="0" xfId="0" applyFill="1" applyAlignment="1">
      <alignment wrapText="1"/>
    </xf>
    <xf numFmtId="44" fontId="0" fillId="13" borderId="0" xfId="0" applyNumberFormat="1" applyFill="1"/>
    <xf numFmtId="0" fontId="29" fillId="14" borderId="0" xfId="0" applyFont="1" applyFill="1" applyAlignment="1">
      <alignment horizontal="left"/>
    </xf>
    <xf numFmtId="0" fontId="8" fillId="0" borderId="0" xfId="0" applyFont="1" applyFill="1"/>
    <xf numFmtId="44" fontId="0" fillId="15" borderId="0" xfId="0" applyNumberFormat="1" applyFill="1" applyAlignment="1">
      <alignment wrapText="1"/>
    </xf>
    <xf numFmtId="0" fontId="0" fillId="11" borderId="0" xfId="0" applyFill="1"/>
    <xf numFmtId="6" fontId="0" fillId="8" borderId="0" xfId="0" applyNumberFormat="1" applyFill="1"/>
    <xf numFmtId="44" fontId="0" fillId="10" borderId="0" xfId="0" applyNumberFormat="1" applyFill="1" applyAlignment="1">
      <alignment wrapText="1"/>
    </xf>
    <xf numFmtId="44" fontId="18" fillId="14" borderId="0" xfId="0" applyNumberFormat="1" applyFont="1" applyFill="1"/>
    <xf numFmtId="6" fontId="0" fillId="13" borderId="0" xfId="2" applyNumberFormat="1" applyFont="1" applyFill="1"/>
    <xf numFmtId="22" fontId="0" fillId="0" borderId="0" xfId="0" applyNumberFormat="1"/>
    <xf numFmtId="0" fontId="0" fillId="16" borderId="0" xfId="0" applyFill="1" applyAlignment="1">
      <alignment wrapText="1"/>
    </xf>
    <xf numFmtId="14" fontId="30" fillId="16" borderId="0" xfId="0" applyNumberFormat="1" applyFont="1" applyFill="1"/>
    <xf numFmtId="0" fontId="0" fillId="17" borderId="0" xfId="0" applyFill="1" applyBorder="1"/>
    <xf numFmtId="0" fontId="23" fillId="17" borderId="0" xfId="0" applyFont="1" applyFill="1" applyBorder="1" applyAlignment="1">
      <alignment horizontal="center"/>
    </xf>
    <xf numFmtId="0" fontId="12" fillId="17" borderId="0" xfId="0" applyFont="1" applyFill="1" applyBorder="1" applyAlignment="1">
      <alignment horizontal="center"/>
    </xf>
    <xf numFmtId="0" fontId="31" fillId="17" borderId="0" xfId="0" applyFont="1" applyFill="1" applyBorder="1" applyAlignment="1">
      <alignment horizontal="center"/>
    </xf>
    <xf numFmtId="0" fontId="23" fillId="17" borderId="0" xfId="0" applyFont="1" applyFill="1" applyBorder="1" applyAlignment="1">
      <alignment horizontal="left"/>
    </xf>
    <xf numFmtId="0" fontId="0" fillId="17" borderId="9" xfId="0" applyFill="1" applyBorder="1" applyAlignment="1">
      <alignment horizontal="centerContinuous"/>
    </xf>
    <xf numFmtId="0" fontId="0" fillId="17" borderId="20" xfId="0" applyFill="1" applyBorder="1" applyAlignment="1">
      <alignment horizontal="centerContinuous"/>
    </xf>
    <xf numFmtId="0" fontId="16" fillId="17" borderId="20" xfId="0" applyFont="1" applyFill="1" applyBorder="1" applyAlignment="1">
      <alignment horizontal="center"/>
    </xf>
    <xf numFmtId="49" fontId="20" fillId="16" borderId="0" xfId="0" applyNumberFormat="1" applyFont="1" applyFill="1" applyAlignment="1">
      <alignment vertical="top"/>
    </xf>
    <xf numFmtId="0" fontId="0" fillId="16" borderId="0" xfId="0" applyFill="1" applyAlignment="1"/>
    <xf numFmtId="0" fontId="0" fillId="16" borderId="0" xfId="0" applyFill="1" applyProtection="1"/>
    <xf numFmtId="49" fontId="0" fillId="16" borderId="0" xfId="0" applyNumberFormat="1" applyFill="1" applyAlignment="1">
      <alignment vertical="top"/>
    </xf>
    <xf numFmtId="10" fontId="0" fillId="16" borderId="0" xfId="0" applyNumberFormat="1" applyFill="1" applyProtection="1"/>
    <xf numFmtId="6" fontId="0" fillId="16" borderId="0" xfId="0" applyNumberFormat="1" applyFill="1" applyProtection="1"/>
    <xf numFmtId="0" fontId="0" fillId="16" borderId="0" xfId="0" applyFill="1" applyAlignment="1" applyProtection="1">
      <alignment horizontal="left"/>
    </xf>
    <xf numFmtId="3" fontId="0" fillId="16" borderId="0" xfId="0" applyNumberFormat="1" applyFill="1" applyProtection="1"/>
    <xf numFmtId="8" fontId="0" fillId="16" borderId="0" xfId="0" applyNumberFormat="1" applyFill="1" applyProtection="1"/>
    <xf numFmtId="0" fontId="0" fillId="16" borderId="0" xfId="0" applyFill="1" applyAlignment="1">
      <alignment vertical="top" wrapText="1"/>
    </xf>
    <xf numFmtId="0" fontId="22" fillId="16" borderId="0" xfId="0" applyFont="1" applyFill="1" applyAlignment="1"/>
    <xf numFmtId="0" fontId="0" fillId="16" borderId="0" xfId="0" applyNumberFormat="1" applyFill="1" applyAlignment="1">
      <alignment vertical="top"/>
    </xf>
    <xf numFmtId="0" fontId="0" fillId="16" borderId="0" xfId="0" applyFill="1" applyAlignment="1">
      <alignment horizontal="left" indent="9"/>
    </xf>
    <xf numFmtId="44" fontId="0" fillId="16" borderId="0" xfId="0" applyNumberFormat="1" applyFill="1" applyAlignment="1">
      <alignment wrapText="1"/>
    </xf>
    <xf numFmtId="0" fontId="26" fillId="16" borderId="0" xfId="0" applyFont="1" applyFill="1" applyProtection="1"/>
    <xf numFmtId="44" fontId="7" fillId="16" borderId="1" xfId="2" applyFont="1" applyFill="1" applyBorder="1"/>
    <xf numFmtId="0" fontId="0" fillId="16" borderId="1" xfId="0" applyFill="1" applyBorder="1"/>
    <xf numFmtId="4" fontId="0" fillId="0" borderId="0" xfId="0" applyNumberFormat="1"/>
    <xf numFmtId="4" fontId="2" fillId="0" borderId="0" xfId="3" applyNumberFormat="1" applyFont="1"/>
    <xf numFmtId="2" fontId="0" fillId="0" borderId="0" xfId="0" applyNumberFormat="1"/>
    <xf numFmtId="44" fontId="7" fillId="0" borderId="16" xfId="2" applyNumberFormat="1" applyFont="1" applyBorder="1"/>
    <xf numFmtId="0" fontId="29" fillId="0" borderId="1" xfId="0" applyFont="1" applyBorder="1"/>
    <xf numFmtId="3" fontId="18" fillId="0" borderId="1" xfId="0" applyNumberFormat="1" applyFont="1" applyBorder="1"/>
    <xf numFmtId="3" fontId="32" fillId="0" borderId="1" xfId="0" applyNumberFormat="1" applyFont="1" applyBorder="1"/>
    <xf numFmtId="0" fontId="29" fillId="0" borderId="13" xfId="0" applyFont="1" applyFill="1" applyBorder="1"/>
    <xf numFmtId="4" fontId="33" fillId="0" borderId="1" xfId="0" applyNumberFormat="1" applyFont="1" applyBorder="1"/>
    <xf numFmtId="0" fontId="18" fillId="0" borderId="16" xfId="0" applyFont="1" applyBorder="1"/>
    <xf numFmtId="164" fontId="18" fillId="0" borderId="16" xfId="2" applyNumberFormat="1" applyFont="1" applyBorder="1"/>
    <xf numFmtId="164" fontId="32" fillId="0" borderId="16" xfId="2" applyNumberFormat="1" applyFont="1" applyBorder="1"/>
    <xf numFmtId="164" fontId="34" fillId="0" borderId="16" xfId="2" applyNumberFormat="1" applyFont="1" applyBorder="1"/>
    <xf numFmtId="0" fontId="29" fillId="0" borderId="16" xfId="0" applyFont="1" applyBorder="1" applyAlignment="1">
      <alignment horizontal="center"/>
    </xf>
    <xf numFmtId="0" fontId="29" fillId="0" borderId="16" xfId="0" applyFont="1" applyBorder="1"/>
    <xf numFmtId="3" fontId="18" fillId="0" borderId="16" xfId="0" applyNumberFormat="1" applyFont="1" applyBorder="1"/>
    <xf numFmtId="3" fontId="32" fillId="0" borderId="16" xfId="0" applyNumberFormat="1" applyFont="1" applyBorder="1"/>
    <xf numFmtId="4" fontId="33" fillId="0" borderId="16" xfId="0" applyNumberFormat="1" applyFont="1" applyBorder="1"/>
    <xf numFmtId="4" fontId="17" fillId="0" borderId="16" xfId="0" applyNumberFormat="1" applyFont="1" applyBorder="1"/>
    <xf numFmtId="3" fontId="2" fillId="0" borderId="0" xfId="3" applyNumberFormat="1" applyFont="1" applyFill="1"/>
    <xf numFmtId="0" fontId="30" fillId="16" borderId="0" xfId="0" applyFont="1" applyFill="1"/>
    <xf numFmtId="44" fontId="30" fillId="16" borderId="0" xfId="2" applyFont="1" applyFill="1"/>
    <xf numFmtId="168" fontId="30" fillId="16" borderId="0" xfId="4" applyNumberFormat="1" applyFont="1" applyFill="1"/>
    <xf numFmtId="9" fontId="30" fillId="16" borderId="0" xfId="4" applyFont="1" applyFill="1"/>
    <xf numFmtId="44" fontId="30" fillId="16" borderId="0" xfId="0" applyNumberFormat="1" applyFont="1" applyFill="1"/>
    <xf numFmtId="14" fontId="35" fillId="16" borderId="0" xfId="0" applyNumberFormat="1" applyFont="1" applyFill="1" applyAlignment="1"/>
    <xf numFmtId="0" fontId="30" fillId="16" borderId="9" xfId="0" applyFont="1" applyFill="1" applyBorder="1" applyAlignment="1">
      <alignment horizontal="center"/>
    </xf>
    <xf numFmtId="170" fontId="30" fillId="16" borderId="9" xfId="4" applyNumberFormat="1" applyFont="1" applyFill="1" applyBorder="1" applyAlignment="1">
      <alignment horizontal="center"/>
    </xf>
    <xf numFmtId="3" fontId="36" fillId="16" borderId="0" xfId="3" applyNumberFormat="1" applyFont="1" applyFill="1" applyBorder="1"/>
    <xf numFmtId="44" fontId="37" fillId="16" borderId="0" xfId="2" applyFont="1" applyFill="1"/>
    <xf numFmtId="9" fontId="36" fillId="16" borderId="0" xfId="4" applyFont="1" applyFill="1" applyBorder="1"/>
    <xf numFmtId="0" fontId="0" fillId="0" borderId="9" xfId="0" applyFill="1" applyBorder="1" applyAlignment="1">
      <alignment wrapText="1"/>
    </xf>
    <xf numFmtId="0" fontId="0" fillId="0" borderId="9" xfId="0" applyFill="1" applyBorder="1" applyAlignment="1"/>
    <xf numFmtId="14" fontId="30" fillId="16" borderId="0" xfId="0" applyNumberFormat="1" applyFont="1" applyFill="1" applyAlignment="1">
      <alignment horizontal="left"/>
    </xf>
    <xf numFmtId="14" fontId="30" fillId="16" borderId="0" xfId="0" applyNumberFormat="1" applyFont="1" applyFill="1" applyAlignment="1">
      <alignment horizontal="center"/>
    </xf>
    <xf numFmtId="0" fontId="30" fillId="16" borderId="9" xfId="0" applyFont="1" applyFill="1" applyBorder="1" applyAlignment="1">
      <alignment horizontal="center"/>
    </xf>
    <xf numFmtId="44" fontId="30" fillId="16" borderId="9" xfId="2" applyFont="1" applyFill="1" applyBorder="1" applyAlignment="1">
      <alignment horizontal="center"/>
    </xf>
    <xf numFmtId="0" fontId="22" fillId="0" borderId="0" xfId="0" applyFont="1" applyAlignment="1">
      <alignment horizontal="center" wrapText="1"/>
    </xf>
    <xf numFmtId="0" fontId="0" fillId="0" borderId="0" xfId="0" applyAlignment="1">
      <alignment horizontal="center"/>
    </xf>
    <xf numFmtId="0" fontId="8" fillId="8" borderId="0" xfId="0" applyFont="1" applyFill="1" applyAlignment="1">
      <alignment horizontal="center"/>
    </xf>
    <xf numFmtId="0" fontId="8" fillId="12" borderId="0" xfId="0" applyFont="1" applyFill="1" applyAlignment="1">
      <alignment horizontal="center"/>
    </xf>
    <xf numFmtId="0" fontId="8" fillId="13" borderId="0" xfId="0" applyFont="1" applyFill="1" applyAlignment="1">
      <alignment horizontal="left"/>
    </xf>
    <xf numFmtId="0" fontId="38" fillId="0" borderId="6" xfId="0" applyFont="1" applyBorder="1" applyAlignment="1">
      <alignment horizontal="left" vertical="top" indent="2"/>
    </xf>
    <xf numFmtId="0" fontId="39" fillId="0" borderId="6" xfId="0" applyFont="1" applyBorder="1" applyAlignment="1">
      <alignment horizontal="center" vertical="top" wrapText="1"/>
    </xf>
    <xf numFmtId="0" fontId="39" fillId="0" borderId="0" xfId="0" applyFont="1" applyBorder="1" applyAlignment="1">
      <alignment horizontal="center" vertical="top" wrapText="1"/>
    </xf>
    <xf numFmtId="0" fontId="38" fillId="0" borderId="2" xfId="0" applyFont="1" applyBorder="1" applyAlignment="1">
      <alignment horizontal="center" vertical="top"/>
    </xf>
    <xf numFmtId="0" fontId="38" fillId="0" borderId="3" xfId="0" applyFont="1" applyBorder="1" applyAlignment="1">
      <alignment horizontal="center" vertical="top"/>
    </xf>
    <xf numFmtId="0" fontId="38" fillId="0" borderId="8" xfId="0" applyFont="1" applyBorder="1" applyAlignment="1">
      <alignment horizontal="left" vertical="top" indent="2"/>
    </xf>
    <xf numFmtId="0" fontId="39" fillId="0" borderId="16" xfId="0" applyFont="1" applyBorder="1" applyAlignment="1">
      <alignment horizontal="center" vertical="top"/>
    </xf>
    <xf numFmtId="0" fontId="38" fillId="0" borderId="0" xfId="0" applyFont="1" applyAlignment="1">
      <alignment vertical="top"/>
    </xf>
    <xf numFmtId="171" fontId="38" fillId="0" borderId="20" xfId="0" applyNumberFormat="1" applyFont="1" applyBorder="1" applyAlignment="1">
      <alignment horizontal="right" vertical="top"/>
    </xf>
    <xf numFmtId="0" fontId="40" fillId="0" borderId="0" xfId="0" applyFont="1" applyAlignment="1">
      <alignment horizontal="left" vertical="top" indent="2"/>
    </xf>
    <xf numFmtId="0" fontId="40" fillId="0" borderId="0" xfId="0" applyFont="1" applyAlignment="1">
      <alignment horizontal="right" vertical="top"/>
    </xf>
    <xf numFmtId="171" fontId="40" fillId="0" borderId="0" xfId="0" applyNumberFormat="1" applyFont="1" applyAlignment="1">
      <alignment horizontal="right" vertical="top"/>
    </xf>
    <xf numFmtId="0" fontId="38" fillId="0" borderId="9" xfId="0" applyFont="1" applyBorder="1" applyAlignment="1">
      <alignment horizontal="right" vertical="top"/>
    </xf>
    <xf numFmtId="171" fontId="38" fillId="0" borderId="9" xfId="0" applyNumberFormat="1" applyFont="1" applyBorder="1" applyAlignment="1">
      <alignment horizontal="right" vertical="top"/>
    </xf>
    <xf numFmtId="0" fontId="39" fillId="0" borderId="0" xfId="0" applyFont="1" applyAlignment="1">
      <alignment horizontal="left" vertical="top" indent="2"/>
    </xf>
    <xf numFmtId="0" fontId="39" fillId="0" borderId="0" xfId="0" applyFont="1" applyAlignment="1">
      <alignment horizontal="right" vertical="top"/>
    </xf>
    <xf numFmtId="171" fontId="39" fillId="0" borderId="0" xfId="0" applyNumberFormat="1" applyFont="1" applyAlignment="1">
      <alignment horizontal="right" vertical="top"/>
    </xf>
    <xf numFmtId="0" fontId="40" fillId="0" borderId="0" xfId="0" applyFont="1" applyAlignment="1">
      <alignment horizontal="left" vertical="top" indent="1"/>
    </xf>
    <xf numFmtId="0" fontId="38" fillId="0" borderId="20" xfId="0" applyFont="1" applyBorder="1" applyAlignment="1">
      <alignment horizontal="left" vertical="top" indent="2"/>
    </xf>
    <xf numFmtId="0" fontId="40" fillId="8" borderId="0" xfId="0" applyFont="1" applyFill="1" applyAlignment="1">
      <alignment horizontal="left" vertical="top" indent="2"/>
    </xf>
    <xf numFmtId="0" fontId="40" fillId="8" borderId="0" xfId="0" applyFont="1" applyFill="1" applyAlignment="1">
      <alignment horizontal="right" vertical="top"/>
    </xf>
    <xf numFmtId="171" fontId="40" fillId="8" borderId="0" xfId="0" applyNumberFormat="1" applyFont="1" applyFill="1" applyAlignment="1">
      <alignment horizontal="right" vertical="top"/>
    </xf>
  </cellXfs>
  <cellStyles count="95">
    <cellStyle name="Comma" xfId="1" builtinId="3"/>
    <cellStyle name="Currency" xfId="2" builtinId="4"/>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Normal" xfId="0" builtinId="0"/>
    <cellStyle name="Normal 2" xfId="3"/>
    <cellStyle name="Percent" xfId="4" builtinId="5"/>
  </cellStyles>
  <dxfs count="29">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numFmt numFmtId="34" formatCode="_(&quot;$&quot;* #,##0.00_);_(&quot;$&quot;* \(#,##0.00\);_(&quot;$&quot;* &quot;-&quot;??_);_(@_)"/>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b val="0"/>
        <i val="0"/>
        <strike val="0"/>
        <condense val="0"/>
        <extend val="0"/>
        <outline val="0"/>
        <shadow val="0"/>
        <u val="none"/>
        <vertAlign val="baseline"/>
        <sz val="11"/>
        <color theme="0"/>
        <name val="Calibri"/>
        <scheme val="minor"/>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b val="0"/>
        <i val="0"/>
        <strike val="0"/>
        <condense val="0"/>
        <extend val="0"/>
        <outline val="0"/>
        <shadow val="0"/>
        <u val="none"/>
        <vertAlign val="baseline"/>
        <sz val="11"/>
        <color theme="0"/>
        <name val="Calibri"/>
        <scheme val="minor"/>
      </font>
      <fill>
        <patternFill patternType="solid">
          <fgColor indexed="64"/>
          <bgColor theme="0"/>
        </patternFill>
      </fill>
    </dxf>
    <dxf>
      <font>
        <b val="0"/>
        <i val="0"/>
        <strike val="0"/>
        <condense val="0"/>
        <extend val="0"/>
        <outline val="0"/>
        <shadow val="0"/>
        <u val="none"/>
        <vertAlign val="baseline"/>
        <sz val="11"/>
        <color theme="0"/>
        <name val="Calibri"/>
        <scheme val="minor"/>
      </font>
      <fill>
        <patternFill patternType="solid">
          <fgColor indexed="64"/>
          <bgColor theme="0"/>
        </patternFill>
      </fill>
    </dxf>
    <dxf>
      <font>
        <b val="0"/>
        <i val="0"/>
        <strike val="0"/>
        <condense val="0"/>
        <extend val="0"/>
        <outline val="0"/>
        <shadow val="0"/>
        <u val="none"/>
        <vertAlign val="baseline"/>
        <sz val="11"/>
        <color theme="0"/>
        <name val="Calibri"/>
        <scheme val="minor"/>
      </font>
      <numFmt numFmtId="168" formatCode="0.0%"/>
      <fill>
        <patternFill patternType="solid">
          <fgColor indexed="64"/>
          <bgColor theme="0"/>
        </patternFill>
      </fill>
    </dxf>
    <dxf>
      <font>
        <b val="0"/>
        <i val="0"/>
        <strike val="0"/>
        <condense val="0"/>
        <extend val="0"/>
        <outline val="0"/>
        <shadow val="0"/>
        <u val="none"/>
        <vertAlign val="baseline"/>
        <sz val="11"/>
        <color theme="0"/>
        <name val="Calibri"/>
        <scheme val="minor"/>
      </font>
      <fill>
        <patternFill patternType="solid">
          <fgColor indexed="64"/>
          <bgColor theme="0"/>
        </patternFill>
      </fill>
    </dxf>
    <dxf>
      <font>
        <b val="0"/>
        <i val="0"/>
        <strike val="0"/>
        <condense val="0"/>
        <extend val="0"/>
        <outline val="0"/>
        <shadow val="0"/>
        <u val="none"/>
        <vertAlign val="baseline"/>
        <sz val="11"/>
        <color theme="0"/>
        <name val="Calibri"/>
        <scheme val="minor"/>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numFmt numFmtId="19" formatCode="m/d/yyyy"/>
      <fill>
        <patternFill patternType="solid">
          <fgColor indexed="64"/>
          <bgColor theme="0"/>
        </patternFill>
      </fill>
    </dxf>
    <dxf>
      <font>
        <strike val="0"/>
        <outline val="0"/>
        <shadow val="0"/>
        <u val="none"/>
        <vertAlign val="baseline"/>
        <color theme="0"/>
      </font>
      <fill>
        <patternFill patternType="solid">
          <fgColor indexed="64"/>
          <bgColor theme="0"/>
        </patternFill>
      </fill>
    </dxf>
    <dxf>
      <font>
        <strike val="0"/>
        <outline val="0"/>
        <shadow val="0"/>
        <u val="none"/>
        <vertAlign val="baseline"/>
        <color theme="0"/>
      </font>
      <fill>
        <patternFill patternType="solid">
          <fgColor indexed="64"/>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Main Menu'!A1"/></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2</xdr:col>
      <xdr:colOff>0</xdr:colOff>
      <xdr:row>7</xdr:row>
      <xdr:rowOff>123825</xdr:rowOff>
    </xdr:to>
    <xdr:pic>
      <xdr:nvPicPr>
        <xdr:cNvPr id="5121" name="Picture 1" descr="New Logo V compressed"/>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2276475" cy="1419225"/>
        </a:xfrm>
        <a:prstGeom prst="rect">
          <a:avLst/>
        </a:prstGeom>
        <a:noFill/>
        <a:ln w="9525">
          <a:noFill/>
          <a:miter lim="800000"/>
          <a:headEnd/>
          <a:tailEnd/>
        </a:ln>
      </xdr:spPr>
    </xdr:pic>
    <xdr:clientData/>
  </xdr:twoCellAnchor>
  <xdr:twoCellAnchor>
    <xdr:from>
      <xdr:col>2</xdr:col>
      <xdr:colOff>238124</xdr:colOff>
      <xdr:row>1</xdr:row>
      <xdr:rowOff>133350</xdr:rowOff>
    </xdr:from>
    <xdr:to>
      <xdr:col>5</xdr:col>
      <xdr:colOff>304799</xdr:colOff>
      <xdr:row>3</xdr:row>
      <xdr:rowOff>85725</xdr:rowOff>
    </xdr:to>
    <xdr:sp macro="[0]!GOTOINSTRUCTIONS" textlink="">
      <xdr:nvSpPr>
        <xdr:cNvPr id="3" name="Rounded Rectangle 2"/>
        <xdr:cNvSpPr/>
      </xdr:nvSpPr>
      <xdr:spPr>
        <a:xfrm>
          <a:off x="2676524" y="323850"/>
          <a:ext cx="1895475" cy="3333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1"/>
              </a:solidFill>
            </a:rPr>
            <a:t>Go To:</a:t>
          </a:r>
          <a:r>
            <a:rPr lang="en-US" sz="1100" baseline="0">
              <a:solidFill>
                <a:schemeClr val="tx1"/>
              </a:solidFill>
            </a:rPr>
            <a:t> Instructions</a:t>
          </a:r>
          <a:endParaRPr lang="en-US" sz="1100">
            <a:solidFill>
              <a:schemeClr val="tx1"/>
            </a:solidFill>
          </a:endParaRPr>
        </a:p>
      </xdr:txBody>
    </xdr:sp>
    <xdr:clientData/>
  </xdr:twoCellAnchor>
  <xdr:twoCellAnchor>
    <xdr:from>
      <xdr:col>2</xdr:col>
      <xdr:colOff>257174</xdr:colOff>
      <xdr:row>4</xdr:row>
      <xdr:rowOff>0</xdr:rowOff>
    </xdr:from>
    <xdr:to>
      <xdr:col>5</xdr:col>
      <xdr:colOff>323849</xdr:colOff>
      <xdr:row>5</xdr:row>
      <xdr:rowOff>142875</xdr:rowOff>
    </xdr:to>
    <xdr:sp macro="[0]!GOTOINTEGRITY" textlink="">
      <xdr:nvSpPr>
        <xdr:cNvPr id="4" name="Rounded Rectangle 3"/>
        <xdr:cNvSpPr/>
      </xdr:nvSpPr>
      <xdr:spPr>
        <a:xfrm>
          <a:off x="2695574" y="762000"/>
          <a:ext cx="1895475" cy="3333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1"/>
              </a:solidFill>
            </a:rPr>
            <a:t>Go </a:t>
          </a:r>
          <a:r>
            <a:rPr lang="en-US" sz="1100" baseline="0">
              <a:solidFill>
                <a:schemeClr val="tx1"/>
              </a:solidFill>
            </a:rPr>
            <a:t> To: Academic Integrity</a:t>
          </a:r>
          <a:endParaRPr lang="en-US" sz="1100">
            <a:solidFill>
              <a:schemeClr val="tx1"/>
            </a:solidFill>
          </a:endParaRPr>
        </a:p>
      </xdr:txBody>
    </xdr:sp>
    <xdr:clientData/>
  </xdr:twoCellAnchor>
  <xdr:twoCellAnchor>
    <xdr:from>
      <xdr:col>2</xdr:col>
      <xdr:colOff>266699</xdr:colOff>
      <xdr:row>6</xdr:row>
      <xdr:rowOff>85725</xdr:rowOff>
    </xdr:from>
    <xdr:to>
      <xdr:col>5</xdr:col>
      <xdr:colOff>352424</xdr:colOff>
      <xdr:row>8</xdr:row>
      <xdr:rowOff>38100</xdr:rowOff>
    </xdr:to>
    <xdr:sp macro="[0]!GOTOPRODUCTS" textlink="">
      <xdr:nvSpPr>
        <xdr:cNvPr id="5" name="Rounded Rectangle 4"/>
        <xdr:cNvSpPr/>
      </xdr:nvSpPr>
      <xdr:spPr>
        <a:xfrm>
          <a:off x="2705099" y="1228725"/>
          <a:ext cx="1914525" cy="3333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1"/>
              </a:solidFill>
            </a:rPr>
            <a:t>Go To:</a:t>
          </a:r>
          <a:r>
            <a:rPr lang="en-US" sz="1100" baseline="0">
              <a:solidFill>
                <a:schemeClr val="tx1"/>
              </a:solidFill>
            </a:rPr>
            <a:t> Products</a:t>
          </a:r>
          <a:endParaRPr lang="en-US" sz="1100">
            <a:solidFill>
              <a:schemeClr val="tx1"/>
            </a:solidFill>
          </a:endParaRPr>
        </a:p>
      </xdr:txBody>
    </xdr:sp>
    <xdr:clientData/>
  </xdr:twoCellAnchor>
  <xdr:twoCellAnchor>
    <xdr:from>
      <xdr:col>2</xdr:col>
      <xdr:colOff>285749</xdr:colOff>
      <xdr:row>9</xdr:row>
      <xdr:rowOff>285750</xdr:rowOff>
    </xdr:from>
    <xdr:to>
      <xdr:col>5</xdr:col>
      <xdr:colOff>371474</xdr:colOff>
      <xdr:row>12</xdr:row>
      <xdr:rowOff>38100</xdr:rowOff>
    </xdr:to>
    <xdr:sp macro="[0]!GOTOGL" textlink="">
      <xdr:nvSpPr>
        <xdr:cNvPr id="6" name="Rounded Rectangle 5"/>
        <xdr:cNvSpPr/>
      </xdr:nvSpPr>
      <xdr:spPr>
        <a:xfrm>
          <a:off x="2647949" y="2143125"/>
          <a:ext cx="1857375" cy="571500"/>
        </a:xfrm>
        <a:prstGeom prst="roundRect">
          <a:avLst/>
        </a:prstGeom>
        <a:solidFill>
          <a:schemeClr val="tx1">
            <a:lumMod val="95000"/>
            <a:lumOff val="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Go To:</a:t>
          </a:r>
          <a:r>
            <a:rPr lang="en-US" sz="1100" baseline="0"/>
            <a:t> Chart of Accounts - GL</a:t>
          </a:r>
          <a:endParaRPr lang="en-US" sz="1100"/>
        </a:p>
      </xdr:txBody>
    </xdr:sp>
    <xdr:clientData/>
  </xdr:twoCellAnchor>
  <xdr:twoCellAnchor>
    <xdr:from>
      <xdr:col>2</xdr:col>
      <xdr:colOff>295274</xdr:colOff>
      <xdr:row>13</xdr:row>
      <xdr:rowOff>9525</xdr:rowOff>
    </xdr:from>
    <xdr:to>
      <xdr:col>5</xdr:col>
      <xdr:colOff>380999</xdr:colOff>
      <xdr:row>15</xdr:row>
      <xdr:rowOff>171450</xdr:rowOff>
    </xdr:to>
    <xdr:sp macro="[0]!GOTOAR" textlink="">
      <xdr:nvSpPr>
        <xdr:cNvPr id="7" name="Rounded Rectangle 6"/>
        <xdr:cNvSpPr/>
      </xdr:nvSpPr>
      <xdr:spPr>
        <a:xfrm>
          <a:off x="2657474" y="2876550"/>
          <a:ext cx="1857375" cy="54292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Go To:</a:t>
          </a:r>
          <a:r>
            <a:rPr lang="en-US" sz="1100" baseline="0"/>
            <a:t> Chart of Accounts - AR</a:t>
          </a:r>
          <a:endParaRPr lang="en-US" sz="1100"/>
        </a:p>
      </xdr:txBody>
    </xdr:sp>
    <xdr:clientData/>
  </xdr:twoCellAnchor>
  <xdr:twoCellAnchor>
    <xdr:from>
      <xdr:col>2</xdr:col>
      <xdr:colOff>295275</xdr:colOff>
      <xdr:row>16</xdr:row>
      <xdr:rowOff>104775</xdr:rowOff>
    </xdr:from>
    <xdr:to>
      <xdr:col>5</xdr:col>
      <xdr:colOff>371475</xdr:colOff>
      <xdr:row>19</xdr:row>
      <xdr:rowOff>66675</xdr:rowOff>
    </xdr:to>
    <xdr:sp macro="[0]!GOTOAP" textlink="">
      <xdr:nvSpPr>
        <xdr:cNvPr id="8" name="Rounded Rectangle 7"/>
        <xdr:cNvSpPr/>
      </xdr:nvSpPr>
      <xdr:spPr>
        <a:xfrm>
          <a:off x="2657475" y="3543300"/>
          <a:ext cx="1847850" cy="5334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Go To:</a:t>
          </a:r>
          <a:r>
            <a:rPr lang="en-US" sz="1100" baseline="0"/>
            <a:t> Chart of Accounts - AP</a:t>
          </a:r>
          <a:endParaRPr lang="en-US" sz="1100"/>
        </a:p>
      </xdr:txBody>
    </xdr:sp>
    <xdr:clientData/>
  </xdr:twoCellAnchor>
  <xdr:twoCellAnchor>
    <xdr:from>
      <xdr:col>6</xdr:col>
      <xdr:colOff>0</xdr:colOff>
      <xdr:row>1</xdr:row>
      <xdr:rowOff>171450</xdr:rowOff>
    </xdr:from>
    <xdr:to>
      <xdr:col>9</xdr:col>
      <xdr:colOff>95250</xdr:colOff>
      <xdr:row>3</xdr:row>
      <xdr:rowOff>123825</xdr:rowOff>
    </xdr:to>
    <xdr:sp macro="[0]!GOTOSALESJOURNAL" textlink="">
      <xdr:nvSpPr>
        <xdr:cNvPr id="9" name="Rounded Rectangle 8"/>
        <xdr:cNvSpPr/>
      </xdr:nvSpPr>
      <xdr:spPr>
        <a:xfrm>
          <a:off x="4724400" y="361950"/>
          <a:ext cx="1866900" cy="333375"/>
        </a:xfrm>
        <a:prstGeom prst="roundRect">
          <a:avLst/>
        </a:prstGeom>
        <a:solidFill>
          <a:schemeClr val="tx1">
            <a:lumMod val="50000"/>
            <a:lumOff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Go To:</a:t>
          </a:r>
          <a:r>
            <a:rPr lang="en-US" sz="1100" baseline="0"/>
            <a:t> Sales Journal</a:t>
          </a:r>
          <a:endParaRPr lang="en-US" sz="1100"/>
        </a:p>
      </xdr:txBody>
    </xdr:sp>
    <xdr:clientData/>
  </xdr:twoCellAnchor>
  <xdr:twoCellAnchor>
    <xdr:from>
      <xdr:col>6</xdr:col>
      <xdr:colOff>0</xdr:colOff>
      <xdr:row>4</xdr:row>
      <xdr:rowOff>123825</xdr:rowOff>
    </xdr:from>
    <xdr:to>
      <xdr:col>9</xdr:col>
      <xdr:colOff>95250</xdr:colOff>
      <xdr:row>6</xdr:row>
      <xdr:rowOff>76200</xdr:rowOff>
    </xdr:to>
    <xdr:sp macro="[0]!GOTOPURCHJOURNAL" textlink="">
      <xdr:nvSpPr>
        <xdr:cNvPr id="10" name="Rounded Rectangle 9"/>
        <xdr:cNvSpPr/>
      </xdr:nvSpPr>
      <xdr:spPr>
        <a:xfrm>
          <a:off x="4724400" y="885825"/>
          <a:ext cx="1866900" cy="333375"/>
        </a:xfrm>
        <a:prstGeom prst="roundRect">
          <a:avLst/>
        </a:prstGeom>
        <a:solidFill>
          <a:schemeClr val="tx1">
            <a:lumMod val="50000"/>
            <a:lumOff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Go To:</a:t>
          </a:r>
          <a:r>
            <a:rPr lang="en-US" sz="1100" baseline="0"/>
            <a:t> Purchases Journal</a:t>
          </a:r>
          <a:endParaRPr lang="en-US" sz="1100"/>
        </a:p>
      </xdr:txBody>
    </xdr:sp>
    <xdr:clientData/>
  </xdr:twoCellAnchor>
  <xdr:twoCellAnchor>
    <xdr:from>
      <xdr:col>6</xdr:col>
      <xdr:colOff>19050</xdr:colOff>
      <xdr:row>7</xdr:row>
      <xdr:rowOff>85725</xdr:rowOff>
    </xdr:from>
    <xdr:to>
      <xdr:col>9</xdr:col>
      <xdr:colOff>114300</xdr:colOff>
      <xdr:row>8</xdr:row>
      <xdr:rowOff>228600</xdr:rowOff>
    </xdr:to>
    <xdr:sp macro="[0]!GOTOCASHRECJOURNAL" textlink="">
      <xdr:nvSpPr>
        <xdr:cNvPr id="11" name="Rounded Rectangle 10"/>
        <xdr:cNvSpPr/>
      </xdr:nvSpPr>
      <xdr:spPr>
        <a:xfrm>
          <a:off x="4743450" y="1419225"/>
          <a:ext cx="1866900" cy="333375"/>
        </a:xfrm>
        <a:prstGeom prst="roundRect">
          <a:avLst/>
        </a:prstGeom>
        <a:solidFill>
          <a:schemeClr val="tx1">
            <a:lumMod val="50000"/>
            <a:lumOff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Go To:</a:t>
          </a:r>
          <a:r>
            <a:rPr lang="en-US" sz="1100" baseline="0"/>
            <a:t> Cash Receipts Journal</a:t>
          </a:r>
          <a:endParaRPr lang="en-US" sz="1100"/>
        </a:p>
      </xdr:txBody>
    </xdr:sp>
    <xdr:clientData/>
  </xdr:twoCellAnchor>
  <xdr:twoCellAnchor>
    <xdr:from>
      <xdr:col>6</xdr:col>
      <xdr:colOff>19050</xdr:colOff>
      <xdr:row>9</xdr:row>
      <xdr:rowOff>95250</xdr:rowOff>
    </xdr:from>
    <xdr:to>
      <xdr:col>9</xdr:col>
      <xdr:colOff>114300</xdr:colOff>
      <xdr:row>10</xdr:row>
      <xdr:rowOff>266700</xdr:rowOff>
    </xdr:to>
    <xdr:sp macro="[0]!GOTOCASHPAYJOURNAL" textlink="">
      <xdr:nvSpPr>
        <xdr:cNvPr id="12" name="Rounded Rectangle 11"/>
        <xdr:cNvSpPr/>
      </xdr:nvSpPr>
      <xdr:spPr>
        <a:xfrm>
          <a:off x="4743450" y="1952625"/>
          <a:ext cx="1866900" cy="504825"/>
        </a:xfrm>
        <a:prstGeom prst="roundRect">
          <a:avLst/>
        </a:prstGeom>
        <a:solidFill>
          <a:schemeClr val="tx1">
            <a:lumMod val="50000"/>
            <a:lumOff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Go To:</a:t>
          </a:r>
          <a:r>
            <a:rPr lang="en-US" sz="1100" baseline="0"/>
            <a:t> Cash Payments Journal</a:t>
          </a:r>
          <a:endParaRPr lang="en-US" sz="1100"/>
        </a:p>
      </xdr:txBody>
    </xdr:sp>
    <xdr:clientData/>
  </xdr:twoCellAnchor>
  <xdr:twoCellAnchor>
    <xdr:from>
      <xdr:col>6</xdr:col>
      <xdr:colOff>28575</xdr:colOff>
      <xdr:row>11</xdr:row>
      <xdr:rowOff>180975</xdr:rowOff>
    </xdr:from>
    <xdr:to>
      <xdr:col>9</xdr:col>
      <xdr:colOff>123825</xdr:colOff>
      <xdr:row>13</xdr:row>
      <xdr:rowOff>133350</xdr:rowOff>
    </xdr:to>
    <xdr:sp macro="[0]!GOTOGJPG1" textlink="">
      <xdr:nvSpPr>
        <xdr:cNvPr id="13" name="Rounded Rectangle 12"/>
        <xdr:cNvSpPr/>
      </xdr:nvSpPr>
      <xdr:spPr>
        <a:xfrm>
          <a:off x="4752975" y="2667000"/>
          <a:ext cx="1866900" cy="333375"/>
        </a:xfrm>
        <a:prstGeom prst="roundRect">
          <a:avLst/>
        </a:prstGeom>
        <a:solidFill>
          <a:schemeClr val="tx1">
            <a:lumMod val="50000"/>
            <a:lumOff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Go To:</a:t>
          </a:r>
          <a:r>
            <a:rPr lang="en-US" sz="1100" baseline="0"/>
            <a:t> General  Journal Pg 1</a:t>
          </a:r>
          <a:endParaRPr lang="en-US" sz="1100"/>
        </a:p>
      </xdr:txBody>
    </xdr:sp>
    <xdr:clientData/>
  </xdr:twoCellAnchor>
  <xdr:twoCellAnchor>
    <xdr:from>
      <xdr:col>6</xdr:col>
      <xdr:colOff>38100</xdr:colOff>
      <xdr:row>14</xdr:row>
      <xdr:rowOff>152400</xdr:rowOff>
    </xdr:from>
    <xdr:to>
      <xdr:col>9</xdr:col>
      <xdr:colOff>133350</xdr:colOff>
      <xdr:row>16</xdr:row>
      <xdr:rowOff>104775</xdr:rowOff>
    </xdr:to>
    <xdr:sp macro="[0]!GOTOGJPG2" textlink="">
      <xdr:nvSpPr>
        <xdr:cNvPr id="14" name="Rounded Rectangle 13"/>
        <xdr:cNvSpPr/>
      </xdr:nvSpPr>
      <xdr:spPr>
        <a:xfrm>
          <a:off x="4762500" y="3209925"/>
          <a:ext cx="1866900" cy="333375"/>
        </a:xfrm>
        <a:prstGeom prst="roundRect">
          <a:avLst/>
        </a:prstGeom>
        <a:solidFill>
          <a:schemeClr val="tx1">
            <a:lumMod val="50000"/>
            <a:lumOff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Go To:</a:t>
          </a:r>
          <a:r>
            <a:rPr lang="en-US" sz="1100" baseline="0"/>
            <a:t> General  Journal Pg 2</a:t>
          </a:r>
          <a:endParaRPr lang="en-US" sz="1100"/>
        </a:p>
      </xdr:txBody>
    </xdr:sp>
    <xdr:clientData/>
  </xdr:twoCellAnchor>
  <xdr:twoCellAnchor>
    <xdr:from>
      <xdr:col>6</xdr:col>
      <xdr:colOff>38100</xdr:colOff>
      <xdr:row>17</xdr:row>
      <xdr:rowOff>85725</xdr:rowOff>
    </xdr:from>
    <xdr:to>
      <xdr:col>9</xdr:col>
      <xdr:colOff>133350</xdr:colOff>
      <xdr:row>19</xdr:row>
      <xdr:rowOff>38100</xdr:rowOff>
    </xdr:to>
    <xdr:sp macro="[0]!GOTOGJPG3" textlink="">
      <xdr:nvSpPr>
        <xdr:cNvPr id="15" name="Rounded Rectangle 14"/>
        <xdr:cNvSpPr/>
      </xdr:nvSpPr>
      <xdr:spPr>
        <a:xfrm>
          <a:off x="4762500" y="3714750"/>
          <a:ext cx="1866900" cy="333375"/>
        </a:xfrm>
        <a:prstGeom prst="roundRect">
          <a:avLst/>
        </a:prstGeom>
        <a:solidFill>
          <a:schemeClr val="tx1">
            <a:lumMod val="50000"/>
            <a:lumOff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Go To:</a:t>
          </a:r>
          <a:r>
            <a:rPr lang="en-US" sz="1100" baseline="0"/>
            <a:t> General  Journal Pg 3</a:t>
          </a:r>
          <a:endParaRPr lang="en-US" sz="1100"/>
        </a:p>
      </xdr:txBody>
    </xdr:sp>
    <xdr:clientData/>
  </xdr:twoCellAnchor>
  <xdr:twoCellAnchor>
    <xdr:from>
      <xdr:col>9</xdr:col>
      <xdr:colOff>428625</xdr:colOff>
      <xdr:row>1</xdr:row>
      <xdr:rowOff>152400</xdr:rowOff>
    </xdr:from>
    <xdr:to>
      <xdr:col>12</xdr:col>
      <xdr:colOff>523875</xdr:colOff>
      <xdr:row>3</xdr:row>
      <xdr:rowOff>104775</xdr:rowOff>
    </xdr:to>
    <xdr:sp macro="[0]!GOTOGENLEDGER" textlink="">
      <xdr:nvSpPr>
        <xdr:cNvPr id="16" name="Rounded Rectangle 15"/>
        <xdr:cNvSpPr/>
      </xdr:nvSpPr>
      <xdr:spPr>
        <a:xfrm>
          <a:off x="7134225" y="342900"/>
          <a:ext cx="1924050" cy="3333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Go To:</a:t>
          </a:r>
          <a:r>
            <a:rPr lang="en-US" sz="1100" baseline="0"/>
            <a:t> General Ledger</a:t>
          </a:r>
          <a:endParaRPr lang="en-US" sz="1100"/>
        </a:p>
      </xdr:txBody>
    </xdr:sp>
    <xdr:clientData/>
  </xdr:twoCellAnchor>
  <xdr:twoCellAnchor>
    <xdr:from>
      <xdr:col>9</xdr:col>
      <xdr:colOff>438150</xdr:colOff>
      <xdr:row>4</xdr:row>
      <xdr:rowOff>9525</xdr:rowOff>
    </xdr:from>
    <xdr:to>
      <xdr:col>12</xdr:col>
      <xdr:colOff>533400</xdr:colOff>
      <xdr:row>5</xdr:row>
      <xdr:rowOff>152400</xdr:rowOff>
    </xdr:to>
    <xdr:sp macro="[0]!GOTOARSUBLEDGER" textlink="">
      <xdr:nvSpPr>
        <xdr:cNvPr id="17" name="Rounded Rectangle 16"/>
        <xdr:cNvSpPr/>
      </xdr:nvSpPr>
      <xdr:spPr>
        <a:xfrm>
          <a:off x="7143750" y="771525"/>
          <a:ext cx="1924050" cy="3333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Go To:</a:t>
          </a:r>
          <a:r>
            <a:rPr lang="en-US" sz="1100" baseline="0"/>
            <a:t> A/R Sub-Ledger</a:t>
          </a:r>
          <a:endParaRPr lang="en-US" sz="1100"/>
        </a:p>
      </xdr:txBody>
    </xdr:sp>
    <xdr:clientData/>
  </xdr:twoCellAnchor>
  <xdr:twoCellAnchor>
    <xdr:from>
      <xdr:col>9</xdr:col>
      <xdr:colOff>457200</xdr:colOff>
      <xdr:row>6</xdr:row>
      <xdr:rowOff>66675</xdr:rowOff>
    </xdr:from>
    <xdr:to>
      <xdr:col>12</xdr:col>
      <xdr:colOff>552450</xdr:colOff>
      <xdr:row>8</xdr:row>
      <xdr:rowOff>19050</xdr:rowOff>
    </xdr:to>
    <xdr:sp macro="[0]!GOTOAPSUBLEDGER" textlink="">
      <xdr:nvSpPr>
        <xdr:cNvPr id="18" name="Rounded Rectangle 17"/>
        <xdr:cNvSpPr/>
      </xdr:nvSpPr>
      <xdr:spPr>
        <a:xfrm>
          <a:off x="7162800" y="1209675"/>
          <a:ext cx="1924050" cy="3333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Go To:</a:t>
          </a:r>
          <a:r>
            <a:rPr lang="en-US" sz="1100" baseline="0"/>
            <a:t> A/P Sub-Ledger</a:t>
          </a:r>
          <a:endParaRPr lang="en-US" sz="1100"/>
        </a:p>
      </xdr:txBody>
    </xdr:sp>
    <xdr:clientData/>
  </xdr:twoCellAnchor>
  <xdr:twoCellAnchor>
    <xdr:from>
      <xdr:col>9</xdr:col>
      <xdr:colOff>457200</xdr:colOff>
      <xdr:row>13</xdr:row>
      <xdr:rowOff>28575</xdr:rowOff>
    </xdr:from>
    <xdr:to>
      <xdr:col>12</xdr:col>
      <xdr:colOff>552450</xdr:colOff>
      <xdr:row>14</xdr:row>
      <xdr:rowOff>171450</xdr:rowOff>
    </xdr:to>
    <xdr:sp macro="[0]!GoToWorksheet" textlink="">
      <xdr:nvSpPr>
        <xdr:cNvPr id="19" name="Rounded Rectangle 18"/>
        <xdr:cNvSpPr/>
      </xdr:nvSpPr>
      <xdr:spPr>
        <a:xfrm>
          <a:off x="6953250" y="2895600"/>
          <a:ext cx="1866900" cy="3333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1"/>
              </a:solidFill>
            </a:rPr>
            <a:t>Go To:</a:t>
          </a:r>
          <a:r>
            <a:rPr lang="en-US" sz="1100" baseline="0">
              <a:solidFill>
                <a:schemeClr val="tx1"/>
              </a:solidFill>
            </a:rPr>
            <a:t> Worksheet</a:t>
          </a:r>
          <a:endParaRPr lang="en-US" sz="1100">
            <a:solidFill>
              <a:schemeClr val="tx1"/>
            </a:solidFill>
          </a:endParaRPr>
        </a:p>
      </xdr:txBody>
    </xdr:sp>
    <xdr:clientData/>
  </xdr:twoCellAnchor>
  <xdr:twoCellAnchor>
    <xdr:from>
      <xdr:col>9</xdr:col>
      <xdr:colOff>447675</xdr:colOff>
      <xdr:row>15</xdr:row>
      <xdr:rowOff>161924</xdr:rowOff>
    </xdr:from>
    <xdr:to>
      <xdr:col>12</xdr:col>
      <xdr:colOff>542925</xdr:colOff>
      <xdr:row>19</xdr:row>
      <xdr:rowOff>19049</xdr:rowOff>
    </xdr:to>
    <xdr:sp macro="[0]!GOTOINVCONTROLCARD" textlink="">
      <xdr:nvSpPr>
        <xdr:cNvPr id="20" name="Rounded Rectangle 19"/>
        <xdr:cNvSpPr/>
      </xdr:nvSpPr>
      <xdr:spPr>
        <a:xfrm>
          <a:off x="6943725" y="3409949"/>
          <a:ext cx="1866900" cy="61912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1"/>
              </a:solidFill>
            </a:rPr>
            <a:t>Go To:</a:t>
          </a:r>
          <a:r>
            <a:rPr lang="en-US" sz="1100" baseline="0">
              <a:solidFill>
                <a:schemeClr val="tx1"/>
              </a:solidFill>
            </a:rPr>
            <a:t> Inventory Control Card</a:t>
          </a:r>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xdr:col>
      <xdr:colOff>419100</xdr:colOff>
      <xdr:row>1</xdr:row>
      <xdr:rowOff>150495</xdr:rowOff>
    </xdr:to>
    <xdr:sp macro="[0]!_xludf.Activate" textlink="">
      <xdr:nvSpPr>
        <xdr:cNvPr id="2" name="TextBox 1">
          <a:hlinkClick xmlns:r="http://schemas.openxmlformats.org/officeDocument/2006/relationships" r:id="rId1" tooltip="Click me to go back to the Main Menu"/>
        </xdr:cNvPr>
        <xdr:cNvSpPr txBox="1"/>
      </xdr:nvSpPr>
      <xdr:spPr>
        <a:xfrm>
          <a:off x="85725" y="66675"/>
          <a:ext cx="1095375" cy="274320"/>
        </a:xfrm>
        <a:prstGeom prst="rect">
          <a:avLst/>
        </a:prstGeom>
        <a:solidFill>
          <a:srgbClr val="92D050"/>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solidFill>
                <a:sysClr val="windowText" lastClr="000000"/>
              </a:solidFill>
            </a:rPr>
            <a:t>Main Menu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itnee/AppData/Local/Temp/Temp1_accounting202project.zip/ACCT202ProjectSolution2011_rev1%20(1).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Menu"/>
      <sheetName val="Instructions"/>
      <sheetName val="Academic Integrity"/>
      <sheetName val="Transactions"/>
      <sheetName val="Products"/>
      <sheetName val="Chart of Accounts GL"/>
      <sheetName val="Chart of Accounts AR Ledger"/>
      <sheetName val="Chart of Accounts AP Ledger"/>
      <sheetName val="Sales Journal"/>
      <sheetName val="Purchases Journal"/>
      <sheetName val="Cash Receipts Journal"/>
      <sheetName val="Cash Payments Journal"/>
      <sheetName val="General Journal"/>
      <sheetName val="General Journal ADJ"/>
      <sheetName val="General Journal CLOSING"/>
      <sheetName val="General Ledger"/>
      <sheetName val="AR Ledger"/>
      <sheetName val="AP Ledger"/>
      <sheetName val="Worksheet June 2010"/>
      <sheetName val="IS June 2010"/>
      <sheetName val="Stmt RE June 2010"/>
      <sheetName val="BS June 2010"/>
      <sheetName val="Post Closing Trial Balance"/>
      <sheetName val="Inventory Control"/>
      <sheetName val="Adjusted Trial Balances"/>
      <sheetName val="IS Comparative"/>
      <sheetName val="BS Comparative"/>
      <sheetName val="Ratios Historical"/>
    </sheetNames>
    <sheetDataSet>
      <sheetData sheetId="0" refreshError="1"/>
      <sheetData sheetId="1" refreshError="1"/>
      <sheetData sheetId="2" refreshError="1"/>
      <sheetData sheetId="3" refreshError="1"/>
      <sheetData sheetId="4" refreshError="1"/>
      <sheetData sheetId="5" refreshError="1">
        <row r="1">
          <cell r="A1" t="str">
            <v>AC Speed Corporation</v>
          </cell>
        </row>
        <row r="9">
          <cell r="A9">
            <v>100</v>
          </cell>
        </row>
        <row r="10">
          <cell r="A10">
            <v>102</v>
          </cell>
        </row>
        <row r="11">
          <cell r="A11">
            <v>103</v>
          </cell>
        </row>
        <row r="12">
          <cell r="A12">
            <v>104</v>
          </cell>
        </row>
        <row r="13">
          <cell r="A13">
            <v>105</v>
          </cell>
        </row>
        <row r="14">
          <cell r="A14">
            <v>106</v>
          </cell>
        </row>
        <row r="16">
          <cell r="A16">
            <v>140</v>
          </cell>
        </row>
        <row r="17">
          <cell r="A17">
            <v>145</v>
          </cell>
        </row>
        <row r="18">
          <cell r="A18">
            <v>146</v>
          </cell>
        </row>
        <row r="19">
          <cell r="A19">
            <v>151</v>
          </cell>
        </row>
        <row r="20">
          <cell r="A20">
            <v>152</v>
          </cell>
        </row>
        <row r="21">
          <cell r="A21">
            <v>153</v>
          </cell>
        </row>
        <row r="22">
          <cell r="A22">
            <v>154</v>
          </cell>
        </row>
        <row r="26">
          <cell r="A26">
            <v>201</v>
          </cell>
        </row>
        <row r="27">
          <cell r="A27">
            <v>202</v>
          </cell>
        </row>
        <row r="28">
          <cell r="A28">
            <v>203</v>
          </cell>
        </row>
        <row r="29">
          <cell r="A29">
            <v>204</v>
          </cell>
        </row>
        <row r="30">
          <cell r="A30">
            <v>205</v>
          </cell>
        </row>
        <row r="32">
          <cell r="A32">
            <v>250</v>
          </cell>
        </row>
        <row r="33">
          <cell r="A33">
            <v>251</v>
          </cell>
        </row>
        <row r="34">
          <cell r="A34">
            <v>252</v>
          </cell>
        </row>
        <row r="36">
          <cell r="A36">
            <v>300</v>
          </cell>
        </row>
        <row r="37">
          <cell r="A37">
            <v>301</v>
          </cell>
        </row>
        <row r="38">
          <cell r="A38">
            <v>330</v>
          </cell>
        </row>
        <row r="39">
          <cell r="A39">
            <v>340</v>
          </cell>
        </row>
        <row r="42">
          <cell r="A42">
            <v>500</v>
          </cell>
        </row>
        <row r="43">
          <cell r="A43">
            <v>510</v>
          </cell>
        </row>
        <row r="44">
          <cell r="A44">
            <v>511</v>
          </cell>
        </row>
        <row r="46">
          <cell r="A46">
            <v>600</v>
          </cell>
        </row>
        <row r="48">
          <cell r="A48">
            <v>700</v>
          </cell>
        </row>
        <row r="49">
          <cell r="A49">
            <v>701</v>
          </cell>
        </row>
        <row r="50">
          <cell r="A50">
            <v>702</v>
          </cell>
        </row>
        <row r="51">
          <cell r="A51">
            <v>703</v>
          </cell>
        </row>
        <row r="52">
          <cell r="A52">
            <v>704</v>
          </cell>
        </row>
        <row r="53">
          <cell r="A53">
            <v>705</v>
          </cell>
        </row>
        <row r="54">
          <cell r="A54">
            <v>706</v>
          </cell>
        </row>
        <row r="55">
          <cell r="A55">
            <v>707</v>
          </cell>
        </row>
        <row r="56">
          <cell r="A56">
            <v>708</v>
          </cell>
        </row>
        <row r="57">
          <cell r="A57">
            <v>709</v>
          </cell>
        </row>
        <row r="58">
          <cell r="A58">
            <v>710</v>
          </cell>
        </row>
        <row r="59">
          <cell r="A59">
            <v>711</v>
          </cell>
        </row>
        <row r="60">
          <cell r="A60">
            <v>712</v>
          </cell>
        </row>
        <row r="61">
          <cell r="A61">
            <v>713</v>
          </cell>
        </row>
        <row r="63">
          <cell r="A63">
            <v>800</v>
          </cell>
        </row>
        <row r="65">
          <cell r="A65">
            <v>900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Table1" displayName="Table1" ref="A1:AA33" totalsRowShown="0" headerRowDxfId="28" dataDxfId="27">
  <autoFilter ref="A1:AA33"/>
  <sortState ref="A2:P56">
    <sortCondition ref="A1:A56"/>
  </sortState>
  <tableColumns count="27">
    <tableColumn id="1" name="Date" dataDxfId="26"/>
    <tableColumn id="2" name="Type of Tran." dataDxfId="25"/>
    <tableColumn id="3" name="Journal" dataDxfId="24"/>
    <tableColumn id="17" name="Other/ACT" dataDxfId="23"/>
    <tableColumn id="4" name="Units" dataDxfId="22"/>
    <tableColumn id="5" name="$ per Unit" dataDxfId="21" dataCellStyle="Currency"/>
    <tableColumn id="6" name="Total $" dataDxfId="20" dataCellStyle="Currency"/>
    <tableColumn id="7" name="Discount" dataDxfId="19" dataCellStyle="Percent"/>
    <tableColumn id="8" name="Discount %" dataDxfId="18" dataCellStyle="Percent"/>
    <tableColumn id="9" name="Balance Owing" dataDxfId="17" dataCellStyle="Currency"/>
    <tableColumn id="10" name="Amt of Discount" dataDxfId="16" dataCellStyle="Currency"/>
    <tableColumn id="11" name="Amt of Balance" dataDxfId="15" dataCellStyle="Currency"/>
    <tableColumn id="12" name="L/T Payable" dataDxfId="14" dataCellStyle="Currency"/>
    <tableColumn id="13" name="Interest" dataDxfId="13" dataCellStyle="Percent"/>
    <tableColumn id="14" name="Duration (years)" dataDxfId="12"/>
    <tableColumn id="15" name="Interest Paid" dataDxfId="11" dataCellStyle="Currency"/>
    <tableColumn id="16" name="Balance Paid" dataDxfId="10" dataCellStyle="Currency"/>
    <tableColumn id="19" name="Concatenate1" dataDxfId="9"/>
    <tableColumn id="20" name="Concatenate2" dataDxfId="8"/>
    <tableColumn id="21" name="Concatenate3" dataDxfId="7"/>
    <tableColumn id="22" name="Concatenate4" dataDxfId="6"/>
    <tableColumn id="23" name="Concatenate5" dataDxfId="5"/>
    <tableColumn id="24" name="Concatenate6" dataDxfId="4"/>
    <tableColumn id="25" name="Concatenate7" dataDxfId="3"/>
    <tableColumn id="26" name="Concatenate8" dataDxfId="2"/>
    <tableColumn id="27" name="Concatenate9" dataDxfId="1"/>
    <tableColumn id="28" name="Concatenate10"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22"/>
  <dimension ref="A1:F14"/>
  <sheetViews>
    <sheetView workbookViewId="0">
      <selection activeCell="A2" sqref="A2:F2"/>
    </sheetView>
  </sheetViews>
  <sheetFormatPr defaultColWidth="11.42578125" defaultRowHeight="15"/>
  <cols>
    <col min="1" max="1" width="10.7109375" bestFit="1" customWidth="1"/>
    <col min="2" max="2" width="18.7109375" bestFit="1" customWidth="1"/>
    <col min="3" max="4" width="14.85546875" bestFit="1" customWidth="1"/>
    <col min="5" max="5" width="86.5703125" bestFit="1" customWidth="1"/>
    <col min="6" max="6" width="92" bestFit="1" customWidth="1"/>
  </cols>
  <sheetData>
    <row r="1" spans="1:6">
      <c r="A1" s="135" t="s">
        <v>427</v>
      </c>
      <c r="B1" s="135" t="s">
        <v>428</v>
      </c>
      <c r="C1" s="135" t="s">
        <v>429</v>
      </c>
      <c r="D1" s="135" t="s">
        <v>430</v>
      </c>
      <c r="E1" s="135" t="s">
        <v>431</v>
      </c>
      <c r="F1" s="135" t="s">
        <v>432</v>
      </c>
    </row>
    <row r="2" spans="1:6">
      <c r="A2" s="135" t="s">
        <v>433</v>
      </c>
      <c r="B2" s="135" t="s">
        <v>434</v>
      </c>
      <c r="C2" s="288">
        <v>41647.517858796295</v>
      </c>
      <c r="D2" s="288">
        <v>41647.81554398148</v>
      </c>
      <c r="E2" s="135" t="s">
        <v>435</v>
      </c>
      <c r="F2" s="135" t="s">
        <v>443</v>
      </c>
    </row>
    <row r="3" spans="1:6">
      <c r="A3" t="s">
        <v>444</v>
      </c>
      <c r="B3" t="s">
        <v>445</v>
      </c>
      <c r="C3" s="288">
        <v>41648.512048611112</v>
      </c>
      <c r="D3" s="288">
        <v>41648.593865740739</v>
      </c>
      <c r="E3" t="s">
        <v>446</v>
      </c>
      <c r="F3" t="s">
        <v>451</v>
      </c>
    </row>
    <row r="4" spans="1:6">
      <c r="A4" s="135" t="s">
        <v>452</v>
      </c>
      <c r="B4" s="135" t="s">
        <v>453</v>
      </c>
      <c r="C4" s="288">
        <v>41649.681006944447</v>
      </c>
      <c r="D4" s="288">
        <v>41650.710023148145</v>
      </c>
      <c r="E4" s="135" t="s">
        <v>454</v>
      </c>
      <c r="F4" s="135" t="s">
        <v>459</v>
      </c>
    </row>
    <row r="5" spans="1:6">
      <c r="A5" s="135" t="s">
        <v>452</v>
      </c>
      <c r="B5" s="135" t="s">
        <v>453</v>
      </c>
      <c r="C5" s="288">
        <v>41650.680775462963</v>
      </c>
      <c r="D5" s="288">
        <v>41654.6562037037</v>
      </c>
      <c r="E5" s="135" t="s">
        <v>459</v>
      </c>
      <c r="F5" t="s">
        <v>461</v>
      </c>
    </row>
    <row r="6" spans="1:6">
      <c r="A6" t="s">
        <v>444</v>
      </c>
      <c r="B6" t="s">
        <v>445</v>
      </c>
      <c r="C6" s="288">
        <v>41654.619085648148</v>
      </c>
      <c r="D6" s="288">
        <v>41654.658530092594</v>
      </c>
      <c r="E6" t="s">
        <v>460</v>
      </c>
      <c r="F6" t="s">
        <v>462</v>
      </c>
    </row>
    <row r="7" spans="1:6">
      <c r="A7" t="s">
        <v>444</v>
      </c>
      <c r="B7" t="s">
        <v>445</v>
      </c>
      <c r="C7" s="288">
        <v>41654.656574074077</v>
      </c>
      <c r="D7" s="288">
        <v>41654.659432870372</v>
      </c>
      <c r="E7" t="s">
        <v>462</v>
      </c>
      <c r="F7" t="s">
        <v>462</v>
      </c>
    </row>
    <row r="8" spans="1:6">
      <c r="A8" t="s">
        <v>444</v>
      </c>
      <c r="B8" t="s">
        <v>445</v>
      </c>
      <c r="C8" s="288">
        <v>41654.659375000003</v>
      </c>
      <c r="D8" s="288">
        <v>41654.660798611112</v>
      </c>
      <c r="E8" t="s">
        <v>462</v>
      </c>
      <c r="F8" t="s">
        <v>462</v>
      </c>
    </row>
    <row r="9" spans="1:6">
      <c r="A9" t="s">
        <v>444</v>
      </c>
      <c r="B9" t="s">
        <v>445</v>
      </c>
      <c r="C9" s="288">
        <v>41654.659537037034</v>
      </c>
      <c r="D9" s="288">
        <v>41681.744618055556</v>
      </c>
      <c r="E9" t="s">
        <v>462</v>
      </c>
      <c r="F9" t="s">
        <v>466</v>
      </c>
    </row>
    <row r="10" spans="1:6">
      <c r="A10" s="135" t="s">
        <v>452</v>
      </c>
      <c r="B10" s="135" t="s">
        <v>453</v>
      </c>
      <c r="C10" s="288">
        <v>41658.395451388889</v>
      </c>
      <c r="D10" s="288">
        <v>42055.734236111108</v>
      </c>
      <c r="E10" s="135" t="s">
        <v>463</v>
      </c>
      <c r="F10" s="135" t="s">
        <v>504</v>
      </c>
    </row>
    <row r="11" spans="1:6">
      <c r="A11" t="s">
        <v>444</v>
      </c>
      <c r="B11" t="s">
        <v>464</v>
      </c>
      <c r="C11" s="288">
        <v>41681.341967592591</v>
      </c>
      <c r="E11" t="s">
        <v>465</v>
      </c>
    </row>
    <row r="12" spans="1:6">
      <c r="A12" t="s">
        <v>444</v>
      </c>
      <c r="B12" t="s">
        <v>445</v>
      </c>
      <c r="C12" s="288">
        <v>41681.737280092595</v>
      </c>
      <c r="E12" t="s">
        <v>466</v>
      </c>
    </row>
    <row r="13" spans="1:6">
      <c r="A13" t="s">
        <v>452</v>
      </c>
      <c r="B13" t="s">
        <v>470</v>
      </c>
      <c r="C13" s="288">
        <v>42012.493587962963</v>
      </c>
      <c r="E13" t="s">
        <v>471</v>
      </c>
    </row>
    <row r="14" spans="1:6">
      <c r="A14" s="135" t="s">
        <v>502</v>
      </c>
      <c r="B14" s="135" t="s">
        <v>503</v>
      </c>
      <c r="C14" s="288">
        <v>42054.997210648151</v>
      </c>
      <c r="E14" s="135" t="s">
        <v>504</v>
      </c>
    </row>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codeName="Sheet9">
    <pageSetUpPr fitToPage="1"/>
  </sheetPr>
  <dimension ref="A1:H25"/>
  <sheetViews>
    <sheetView workbookViewId="0">
      <selection activeCell="F10" sqref="F10"/>
    </sheetView>
  </sheetViews>
  <sheetFormatPr defaultColWidth="8.85546875" defaultRowHeight="15"/>
  <cols>
    <col min="2" max="3" width="23.42578125" customWidth="1"/>
    <col min="4" max="4" width="6.28515625" customWidth="1"/>
    <col min="5" max="6" width="12.42578125" bestFit="1" customWidth="1"/>
    <col min="7" max="8" width="10.85546875" customWidth="1"/>
  </cols>
  <sheetData>
    <row r="1" spans="1:8">
      <c r="A1" s="5" t="str">
        <f>'Chart of Accounts GL'!A1</f>
        <v>AC Speed Corporation</v>
      </c>
      <c r="B1" s="4"/>
      <c r="C1" s="4"/>
      <c r="D1" s="4"/>
      <c r="E1" s="4"/>
      <c r="F1" s="4"/>
      <c r="G1" s="4"/>
      <c r="H1" s="4"/>
    </row>
    <row r="2" spans="1:8">
      <c r="A2" s="5" t="s">
        <v>48</v>
      </c>
      <c r="B2" s="4"/>
      <c r="C2" s="4"/>
      <c r="D2" s="4"/>
      <c r="E2" s="4"/>
      <c r="F2" s="4"/>
      <c r="G2" s="4"/>
      <c r="H2" s="4"/>
    </row>
    <row r="4" spans="1:8" s="1" customFormat="1" ht="45">
      <c r="A4" s="6" t="s">
        <v>35</v>
      </c>
      <c r="B4" s="7" t="s">
        <v>42</v>
      </c>
      <c r="C4" s="6" t="s">
        <v>47</v>
      </c>
      <c r="D4" s="7" t="s">
        <v>38</v>
      </c>
      <c r="E4" s="7" t="s">
        <v>43</v>
      </c>
      <c r="F4" s="7" t="s">
        <v>44</v>
      </c>
      <c r="G4" s="7" t="s">
        <v>45</v>
      </c>
      <c r="H4" s="7" t="s">
        <v>46</v>
      </c>
    </row>
    <row r="5" spans="1:8" ht="24.75" customHeight="1">
      <c r="A5" s="35"/>
      <c r="B5" s="8"/>
      <c r="C5" s="8"/>
      <c r="D5" s="8"/>
      <c r="E5" s="138"/>
      <c r="F5" s="36"/>
      <c r="G5" s="36"/>
      <c r="H5" s="36"/>
    </row>
    <row r="6" spans="1:8" ht="24.75" customHeight="1">
      <c r="A6" s="35"/>
      <c r="B6" s="8"/>
      <c r="C6" s="8"/>
      <c r="D6" s="8"/>
      <c r="E6" s="138"/>
      <c r="F6" s="36"/>
      <c r="G6" s="36"/>
      <c r="H6" s="36"/>
    </row>
    <row r="7" spans="1:8" ht="24.75" customHeight="1">
      <c r="A7" s="35"/>
      <c r="B7" s="8"/>
      <c r="C7" s="8"/>
      <c r="D7" s="8"/>
      <c r="E7" s="138"/>
      <c r="F7" s="36"/>
      <c r="G7" s="36"/>
      <c r="H7" s="36"/>
    </row>
    <row r="8" spans="1:8" ht="24.75" customHeight="1">
      <c r="A8" s="35"/>
      <c r="B8" s="8"/>
      <c r="C8" s="8"/>
      <c r="D8" s="8"/>
      <c r="E8" s="138"/>
      <c r="F8" s="36"/>
      <c r="G8" s="142"/>
      <c r="H8" s="142"/>
    </row>
    <row r="9" spans="1:8" ht="24.75" customHeight="1">
      <c r="A9" s="35"/>
      <c r="B9" s="8"/>
      <c r="C9" s="8"/>
      <c r="D9" s="118"/>
      <c r="E9" s="169"/>
      <c r="F9" s="169"/>
      <c r="G9" s="167"/>
      <c r="H9" s="167"/>
    </row>
    <row r="10" spans="1:8" ht="24.75" customHeight="1">
      <c r="A10" s="35"/>
      <c r="B10" s="8"/>
      <c r="C10" s="8"/>
      <c r="D10" s="8"/>
      <c r="E10" s="222"/>
      <c r="F10" s="223"/>
      <c r="G10" s="223"/>
      <c r="H10" s="223"/>
    </row>
    <row r="11" spans="1:8" ht="24.75" customHeight="1">
      <c r="A11" s="35"/>
      <c r="B11" s="8"/>
      <c r="C11" s="8"/>
      <c r="D11" s="8"/>
      <c r="E11" s="36"/>
      <c r="F11" s="36"/>
      <c r="G11" s="36"/>
      <c r="H11" s="36"/>
    </row>
    <row r="12" spans="1:8" ht="24.75" customHeight="1">
      <c r="A12" s="35"/>
      <c r="B12" s="8"/>
      <c r="C12" s="8"/>
      <c r="D12" s="8"/>
      <c r="E12" s="36"/>
      <c r="F12" s="36"/>
      <c r="G12" s="36"/>
      <c r="H12" s="36"/>
    </row>
    <row r="13" spans="1:8" ht="24.75" customHeight="1">
      <c r="A13" s="8"/>
      <c r="B13" s="8"/>
      <c r="C13" s="8"/>
      <c r="D13" s="8"/>
      <c r="E13" s="36"/>
      <c r="F13" s="36"/>
      <c r="G13" s="36"/>
      <c r="H13" s="36"/>
    </row>
    <row r="14" spans="1:8" ht="24.75" customHeight="1">
      <c r="A14" s="8"/>
      <c r="B14" s="8"/>
      <c r="C14" s="8"/>
      <c r="D14" s="8"/>
      <c r="E14" s="36"/>
      <c r="F14" s="36"/>
      <c r="G14" s="36"/>
      <c r="H14" s="36"/>
    </row>
    <row r="15" spans="1:8" ht="24.75" customHeight="1">
      <c r="A15" s="8"/>
      <c r="B15" s="8"/>
      <c r="C15" s="8"/>
      <c r="D15" s="8"/>
      <c r="E15" s="8"/>
      <c r="F15" s="8"/>
      <c r="G15" s="8"/>
      <c r="H15" s="8"/>
    </row>
    <row r="16" spans="1:8" ht="24.75" customHeight="1">
      <c r="A16" s="8"/>
      <c r="B16" s="8"/>
      <c r="C16" s="8"/>
      <c r="D16" s="8"/>
      <c r="E16" s="8"/>
      <c r="F16" s="8"/>
      <c r="G16" s="8"/>
      <c r="H16" s="8"/>
    </row>
    <row r="17" spans="1:8" ht="24.75" customHeight="1">
      <c r="A17" s="8"/>
      <c r="B17" s="8"/>
      <c r="C17" s="8"/>
      <c r="D17" s="8"/>
      <c r="E17" s="8"/>
      <c r="F17" s="8"/>
      <c r="G17" s="8"/>
      <c r="H17" s="8"/>
    </row>
    <row r="18" spans="1:8" ht="24.75" customHeight="1">
      <c r="A18" s="8"/>
      <c r="B18" s="8"/>
      <c r="C18" s="8"/>
      <c r="D18" s="8"/>
      <c r="E18" s="8"/>
      <c r="F18" s="8"/>
      <c r="G18" s="8"/>
      <c r="H18" s="8"/>
    </row>
    <row r="19" spans="1:8" ht="24.75" customHeight="1">
      <c r="A19" s="8"/>
      <c r="B19" s="8"/>
      <c r="C19" s="8"/>
      <c r="D19" s="8"/>
      <c r="E19" s="8"/>
      <c r="F19" s="8"/>
      <c r="G19" s="8"/>
      <c r="H19" s="8"/>
    </row>
    <row r="20" spans="1:8" ht="24.75" customHeight="1">
      <c r="A20" s="8"/>
      <c r="B20" s="8"/>
      <c r="C20" s="8"/>
      <c r="D20" s="8"/>
      <c r="E20" s="8"/>
      <c r="F20" s="8"/>
      <c r="G20" s="8"/>
      <c r="H20" s="8"/>
    </row>
    <row r="21" spans="1:8" ht="24.75" customHeight="1">
      <c r="A21" s="8"/>
      <c r="B21" s="8"/>
      <c r="C21" s="8"/>
      <c r="D21" s="8"/>
      <c r="E21" s="8"/>
      <c r="F21" s="8"/>
      <c r="G21" s="8"/>
      <c r="H21" s="8"/>
    </row>
    <row r="22" spans="1:8" ht="24.75" customHeight="1">
      <c r="A22" s="8"/>
      <c r="B22" s="8"/>
      <c r="C22" s="8"/>
      <c r="D22" s="8"/>
      <c r="E22" s="8"/>
      <c r="F22" s="8"/>
      <c r="G22" s="8"/>
      <c r="H22" s="8"/>
    </row>
    <row r="23" spans="1:8" ht="24.75" customHeight="1">
      <c r="A23" s="8"/>
      <c r="B23" s="8"/>
      <c r="C23" s="8"/>
      <c r="D23" s="8"/>
      <c r="E23" s="8"/>
      <c r="F23" s="8"/>
      <c r="G23" s="8"/>
      <c r="H23" s="8"/>
    </row>
    <row r="24" spans="1:8" ht="24.75" customHeight="1">
      <c r="A24" s="8"/>
      <c r="B24" s="8"/>
      <c r="C24" s="8"/>
      <c r="D24" s="8"/>
      <c r="E24" s="8"/>
      <c r="F24" s="8"/>
      <c r="G24" s="8"/>
      <c r="H24" s="8"/>
    </row>
    <row r="25" spans="1:8" ht="24.75" customHeight="1">
      <c r="A25" s="8"/>
      <c r="B25" s="8"/>
      <c r="C25" s="8"/>
      <c r="D25" s="8"/>
      <c r="E25" s="8"/>
      <c r="F25" s="8"/>
      <c r="G25" s="8"/>
      <c r="H25" s="8"/>
    </row>
  </sheetData>
  <pageMargins left="0.45" right="0.45" top="0.75" bottom="0.75" header="0.3" footer="0.3"/>
  <pageSetup scale="88"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10">
    <pageSetUpPr fitToPage="1"/>
  </sheetPr>
  <dimension ref="A1:Q26"/>
  <sheetViews>
    <sheetView topLeftCell="A4" workbookViewId="0">
      <selection activeCell="D13" sqref="D13"/>
    </sheetView>
  </sheetViews>
  <sheetFormatPr defaultColWidth="8.85546875" defaultRowHeight="15"/>
  <cols>
    <col min="1" max="1" width="7.85546875" customWidth="1"/>
    <col min="2" max="2" width="22" customWidth="1"/>
    <col min="3" max="3" width="7" customWidth="1"/>
    <col min="4" max="8" width="14.140625" customWidth="1"/>
    <col min="9" max="9" width="15.42578125" customWidth="1"/>
  </cols>
  <sheetData>
    <row r="1" spans="1:17">
      <c r="A1" s="5" t="str">
        <f>'Chart of Accounts GL'!A1</f>
        <v>AC Speed Corporation</v>
      </c>
      <c r="B1" s="4"/>
      <c r="C1" s="4"/>
      <c r="D1" s="4"/>
      <c r="E1" s="4"/>
      <c r="F1" s="4"/>
      <c r="G1" s="4"/>
      <c r="H1" s="4"/>
      <c r="I1" s="4"/>
    </row>
    <row r="2" spans="1:17">
      <c r="A2" s="5" t="s">
        <v>137</v>
      </c>
      <c r="B2" s="4"/>
      <c r="C2" s="4"/>
      <c r="D2" s="4"/>
      <c r="E2" s="4"/>
      <c r="F2" s="4"/>
      <c r="G2" s="4"/>
      <c r="H2" s="4"/>
      <c r="I2" s="4"/>
    </row>
    <row r="4" spans="1:17" s="1" customFormat="1" ht="45">
      <c r="A4" s="6" t="s">
        <v>35</v>
      </c>
      <c r="B4" s="7" t="s">
        <v>54</v>
      </c>
      <c r="C4" s="7" t="s">
        <v>38</v>
      </c>
      <c r="D4" s="6" t="s">
        <v>50</v>
      </c>
      <c r="E4" s="6" t="s">
        <v>49</v>
      </c>
      <c r="F4" s="6" t="s">
        <v>153</v>
      </c>
      <c r="G4" s="7" t="s">
        <v>51</v>
      </c>
      <c r="H4" s="6" t="s">
        <v>52</v>
      </c>
      <c r="I4" s="7" t="s">
        <v>53</v>
      </c>
    </row>
    <row r="5" spans="1:17" ht="24" customHeight="1">
      <c r="A5" s="35"/>
      <c r="B5" s="8"/>
      <c r="C5" s="8"/>
      <c r="D5" s="36"/>
      <c r="E5" s="36"/>
      <c r="F5" s="36"/>
      <c r="G5" s="36"/>
      <c r="H5" s="36"/>
      <c r="I5" s="36"/>
    </row>
    <row r="6" spans="1:17" ht="24" customHeight="1">
      <c r="A6" s="35"/>
      <c r="B6" s="8"/>
      <c r="C6" s="8"/>
      <c r="D6" s="36"/>
      <c r="E6" s="36"/>
      <c r="F6" s="36"/>
      <c r="G6" s="36"/>
      <c r="H6" s="314"/>
      <c r="I6" s="36"/>
    </row>
    <row r="7" spans="1:17" ht="24" customHeight="1">
      <c r="A7" s="35"/>
      <c r="B7" s="8"/>
      <c r="C7" s="8"/>
      <c r="D7" s="36"/>
      <c r="E7" s="36"/>
      <c r="F7" s="36"/>
      <c r="G7" s="36"/>
      <c r="H7" s="36"/>
      <c r="I7" s="36"/>
    </row>
    <row r="8" spans="1:17" ht="24" customHeight="1">
      <c r="A8" s="35"/>
      <c r="B8" s="8"/>
      <c r="C8" s="8"/>
      <c r="D8" s="36"/>
      <c r="E8" s="36"/>
      <c r="F8" s="36"/>
      <c r="G8" s="36"/>
      <c r="H8" s="36"/>
      <c r="I8" s="36"/>
    </row>
    <row r="9" spans="1:17" ht="24" customHeight="1">
      <c r="A9" s="35"/>
      <c r="B9" s="8"/>
      <c r="C9" s="8"/>
      <c r="D9" s="36"/>
      <c r="E9" s="36"/>
      <c r="F9" s="36"/>
      <c r="G9" s="36"/>
      <c r="H9" s="36"/>
      <c r="I9" s="36"/>
    </row>
    <row r="10" spans="1:17" ht="24" customHeight="1">
      <c r="A10" s="35"/>
      <c r="B10" s="8"/>
      <c r="C10" s="8"/>
      <c r="D10" s="36"/>
      <c r="E10" s="36"/>
      <c r="F10" s="36"/>
      <c r="G10" s="36"/>
      <c r="H10" s="36"/>
      <c r="I10" s="36"/>
    </row>
    <row r="11" spans="1:17" ht="24" customHeight="1">
      <c r="A11" s="35"/>
      <c r="B11" s="8"/>
      <c r="C11" s="8"/>
      <c r="D11" s="36"/>
      <c r="E11" s="314"/>
      <c r="F11" s="36"/>
      <c r="G11" s="36"/>
      <c r="H11" s="314"/>
      <c r="I11" s="36"/>
    </row>
    <row r="12" spans="1:17" ht="24" customHeight="1">
      <c r="A12" s="35"/>
      <c r="B12" s="8"/>
      <c r="C12" s="8"/>
      <c r="D12" s="36"/>
      <c r="E12" s="36"/>
      <c r="F12" s="36"/>
      <c r="G12" s="36"/>
      <c r="H12" s="36"/>
      <c r="I12" s="36"/>
      <c r="J12" s="86"/>
      <c r="K12" s="86"/>
      <c r="L12" s="86"/>
      <c r="M12" s="86"/>
      <c r="N12" s="86"/>
      <c r="O12" s="86"/>
    </row>
    <row r="13" spans="1:17" ht="24" customHeight="1">
      <c r="A13" s="35"/>
      <c r="B13" s="8"/>
      <c r="C13" s="8"/>
      <c r="D13" s="36"/>
      <c r="E13" s="36"/>
      <c r="F13" s="36"/>
      <c r="G13" s="36"/>
      <c r="H13" s="36"/>
      <c r="I13" s="36"/>
      <c r="J13" s="86"/>
      <c r="K13" s="86"/>
      <c r="L13" s="86"/>
      <c r="M13" s="86"/>
      <c r="N13" s="86"/>
      <c r="O13" s="86"/>
      <c r="P13" s="86"/>
      <c r="Q13" s="86"/>
    </row>
    <row r="14" spans="1:17" ht="24" customHeight="1">
      <c r="A14" s="8"/>
      <c r="B14" s="8"/>
      <c r="C14" s="8"/>
      <c r="D14" s="36"/>
      <c r="E14" s="36"/>
      <c r="F14" s="36"/>
      <c r="G14" s="36"/>
      <c r="H14" s="36"/>
      <c r="I14" s="36"/>
      <c r="J14" s="86"/>
      <c r="K14" s="86"/>
      <c r="L14" s="86"/>
      <c r="M14" s="86"/>
      <c r="N14" s="86"/>
      <c r="O14" s="86"/>
      <c r="P14" s="86"/>
      <c r="Q14" s="86"/>
    </row>
    <row r="15" spans="1:17" ht="24" customHeight="1">
      <c r="A15" s="8"/>
      <c r="B15" s="8"/>
      <c r="C15" s="8"/>
      <c r="D15" s="8"/>
      <c r="E15" s="8"/>
      <c r="F15" s="8"/>
      <c r="G15" s="8"/>
      <c r="H15" s="8"/>
      <c r="I15" s="8"/>
    </row>
    <row r="16" spans="1:17" ht="24" customHeight="1">
      <c r="A16" s="8"/>
      <c r="B16" s="8"/>
      <c r="C16" s="8"/>
      <c r="D16" s="8"/>
      <c r="E16" s="8"/>
      <c r="F16" s="8"/>
      <c r="G16" s="8"/>
      <c r="H16" s="8"/>
      <c r="I16" s="8"/>
    </row>
    <row r="17" spans="1:9" ht="24" customHeight="1">
      <c r="A17" s="8"/>
      <c r="B17" s="8"/>
      <c r="C17" s="8"/>
      <c r="D17" s="8"/>
      <c r="E17" s="8"/>
      <c r="F17" s="8"/>
      <c r="G17" s="8"/>
      <c r="H17" s="8"/>
      <c r="I17" s="8"/>
    </row>
    <row r="18" spans="1:9" ht="24" customHeight="1">
      <c r="A18" s="8"/>
      <c r="B18" s="8"/>
      <c r="C18" s="8"/>
      <c r="D18" s="8"/>
      <c r="E18" s="8"/>
      <c r="F18" s="8"/>
      <c r="G18" s="8"/>
      <c r="H18" s="8"/>
      <c r="I18" s="8"/>
    </row>
    <row r="19" spans="1:9" ht="24" customHeight="1">
      <c r="A19" s="8"/>
      <c r="B19" s="8"/>
      <c r="C19" s="8"/>
      <c r="D19" s="8"/>
      <c r="E19" s="8"/>
      <c r="F19" s="8"/>
      <c r="G19" s="8"/>
      <c r="H19" s="8"/>
      <c r="I19" s="8"/>
    </row>
    <row r="20" spans="1:9" ht="24" customHeight="1">
      <c r="A20" s="8"/>
      <c r="B20" s="8"/>
      <c r="C20" s="8"/>
      <c r="D20" s="8"/>
      <c r="E20" s="8"/>
      <c r="F20" s="8"/>
      <c r="G20" s="8"/>
      <c r="H20" s="8"/>
      <c r="I20" s="8"/>
    </row>
    <row r="21" spans="1:9" ht="24" customHeight="1">
      <c r="A21" s="8"/>
      <c r="B21" s="8"/>
      <c r="C21" s="8"/>
      <c r="D21" s="8"/>
      <c r="E21" s="8"/>
      <c r="F21" s="8"/>
      <c r="G21" s="8"/>
      <c r="H21" s="8"/>
      <c r="I21" s="8"/>
    </row>
    <row r="22" spans="1:9" ht="24" customHeight="1">
      <c r="A22" s="8"/>
      <c r="B22" s="8"/>
      <c r="C22" s="8"/>
      <c r="D22" s="8"/>
      <c r="E22" s="8"/>
      <c r="F22" s="8"/>
      <c r="G22" s="8"/>
      <c r="H22" s="8"/>
      <c r="I22" s="8"/>
    </row>
    <row r="23" spans="1:9" ht="24" customHeight="1">
      <c r="A23" s="8"/>
      <c r="B23" s="8"/>
      <c r="C23" s="8"/>
      <c r="D23" s="8"/>
      <c r="E23" s="8"/>
      <c r="F23" s="8"/>
      <c r="G23" s="8"/>
      <c r="H23" s="8"/>
      <c r="I23" s="8"/>
    </row>
    <row r="24" spans="1:9" ht="24" customHeight="1">
      <c r="A24" s="8"/>
      <c r="B24" s="8"/>
      <c r="C24" s="8"/>
      <c r="D24" s="8"/>
      <c r="E24" s="8"/>
      <c r="F24" s="8"/>
      <c r="G24" s="8"/>
      <c r="H24" s="8"/>
      <c r="I24" s="8"/>
    </row>
    <row r="25" spans="1:9" ht="24" customHeight="1">
      <c r="A25" s="8"/>
      <c r="B25" s="8"/>
      <c r="C25" s="8"/>
      <c r="D25" s="8"/>
      <c r="E25" s="8"/>
      <c r="F25" s="8"/>
      <c r="G25" s="8"/>
      <c r="H25" s="8"/>
      <c r="I25" s="8"/>
    </row>
    <row r="26" spans="1:9" ht="24" customHeight="1">
      <c r="A26" s="8"/>
      <c r="B26" s="8"/>
      <c r="C26" s="8"/>
      <c r="D26" s="8"/>
      <c r="E26" s="8"/>
      <c r="F26" s="8"/>
      <c r="G26" s="8"/>
      <c r="H26" s="8"/>
      <c r="I26" s="8"/>
    </row>
  </sheetData>
  <pageMargins left="0.45" right="0.45" top="0.75" bottom="0.75" header="0.3" footer="0.3"/>
  <pageSetup scale="78"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Sheet11">
    <pageSetUpPr fitToPage="1"/>
  </sheetPr>
  <dimension ref="A1:I27"/>
  <sheetViews>
    <sheetView topLeftCell="A5" workbookViewId="0">
      <selection activeCell="L28" sqref="L28"/>
    </sheetView>
  </sheetViews>
  <sheetFormatPr defaultColWidth="8.85546875" defaultRowHeight="15"/>
  <cols>
    <col min="1" max="1" width="8.28515625" customWidth="1"/>
    <col min="3" max="3" width="18" customWidth="1"/>
    <col min="4" max="4" width="21.85546875" bestFit="1" customWidth="1"/>
    <col min="5" max="5" width="7" customWidth="1"/>
    <col min="6" max="9" width="13.42578125" customWidth="1"/>
  </cols>
  <sheetData>
    <row r="1" spans="1:9">
      <c r="A1" s="5" t="str">
        <f>'Chart of Accounts GL'!A1</f>
        <v>AC Speed Corporation</v>
      </c>
      <c r="B1" s="4"/>
      <c r="C1" s="4"/>
      <c r="D1" s="4"/>
      <c r="E1" s="4"/>
      <c r="F1" s="4"/>
      <c r="G1" s="4"/>
      <c r="H1" s="4"/>
      <c r="I1" s="4"/>
    </row>
    <row r="2" spans="1:9">
      <c r="A2" s="5" t="s">
        <v>61</v>
      </c>
      <c r="B2" s="4"/>
      <c r="C2" s="4"/>
      <c r="D2" s="4"/>
      <c r="E2" s="4"/>
      <c r="F2" s="4"/>
      <c r="G2" s="4"/>
      <c r="H2" s="4"/>
      <c r="I2" s="4"/>
    </row>
    <row r="4" spans="1:9" s="1" customFormat="1" ht="30">
      <c r="A4" s="6" t="s">
        <v>35</v>
      </c>
      <c r="B4" s="6" t="s">
        <v>55</v>
      </c>
      <c r="C4" s="7" t="s">
        <v>59</v>
      </c>
      <c r="D4" s="7" t="s">
        <v>60</v>
      </c>
      <c r="E4" s="7" t="s">
        <v>38</v>
      </c>
      <c r="F4" s="6" t="s">
        <v>56</v>
      </c>
      <c r="G4" s="6" t="s">
        <v>57</v>
      </c>
      <c r="H4" s="6" t="s">
        <v>46</v>
      </c>
      <c r="I4" s="6" t="s">
        <v>58</v>
      </c>
    </row>
    <row r="5" spans="1:9" ht="22.5" customHeight="1">
      <c r="A5" s="35"/>
      <c r="B5" s="6"/>
      <c r="C5" s="8"/>
      <c r="D5" s="8"/>
      <c r="E5" s="8"/>
      <c r="F5" s="36"/>
      <c r="G5" s="36"/>
      <c r="H5" s="36"/>
      <c r="I5" s="138"/>
    </row>
    <row r="6" spans="1:9" ht="22.5" customHeight="1">
      <c r="A6" s="35"/>
      <c r="B6" s="6"/>
      <c r="C6" s="8"/>
      <c r="D6" s="8"/>
      <c r="E6" s="8"/>
      <c r="F6" s="36"/>
      <c r="G6" s="36"/>
      <c r="H6" s="36"/>
      <c r="I6" s="138"/>
    </row>
    <row r="7" spans="1:9" ht="22.5" customHeight="1">
      <c r="A7" s="35"/>
      <c r="B7" s="6"/>
      <c r="C7" s="8"/>
      <c r="D7" s="8"/>
      <c r="E7" s="8"/>
      <c r="F7" s="36"/>
      <c r="G7" s="36"/>
      <c r="H7" s="36"/>
      <c r="I7" s="138"/>
    </row>
    <row r="8" spans="1:9" ht="22.5" customHeight="1">
      <c r="A8" s="35"/>
      <c r="B8" s="6"/>
      <c r="C8" s="8"/>
      <c r="D8" s="8"/>
      <c r="E8" s="8"/>
      <c r="F8" s="314"/>
      <c r="G8" s="314"/>
      <c r="H8" s="36"/>
      <c r="I8" s="138"/>
    </row>
    <row r="9" spans="1:9" ht="22.5" customHeight="1">
      <c r="A9" s="35"/>
      <c r="B9" s="6"/>
      <c r="C9" s="8"/>
      <c r="D9" s="8"/>
      <c r="E9" s="8"/>
      <c r="F9" s="36"/>
      <c r="G9" s="36"/>
      <c r="H9" s="36"/>
      <c r="I9" s="138"/>
    </row>
    <row r="10" spans="1:9" ht="22.5" customHeight="1">
      <c r="A10" s="35"/>
      <c r="B10" s="6"/>
      <c r="C10" s="8"/>
      <c r="D10" s="8"/>
      <c r="E10" s="8"/>
      <c r="F10" s="36"/>
      <c r="G10" s="36"/>
      <c r="H10" s="36"/>
      <c r="I10" s="138"/>
    </row>
    <row r="11" spans="1:9" ht="22.5" customHeight="1">
      <c r="A11" s="35"/>
      <c r="B11" s="6"/>
      <c r="C11" s="8"/>
      <c r="D11" s="8"/>
      <c r="E11" s="8"/>
      <c r="F11" s="36"/>
      <c r="G11" s="36"/>
      <c r="H11" s="36"/>
      <c r="I11" s="138"/>
    </row>
    <row r="12" spans="1:9" ht="22.5" customHeight="1">
      <c r="A12" s="35"/>
      <c r="B12" s="6"/>
      <c r="C12" s="8"/>
      <c r="D12" s="8"/>
      <c r="E12" s="8"/>
      <c r="F12" s="36"/>
      <c r="G12" s="36"/>
      <c r="H12" s="36"/>
      <c r="I12" s="138"/>
    </row>
    <row r="13" spans="1:9" ht="22.5" customHeight="1">
      <c r="A13" s="35"/>
      <c r="B13" s="6"/>
      <c r="C13" s="8"/>
      <c r="D13" s="8"/>
      <c r="E13" s="8"/>
      <c r="F13" s="36"/>
      <c r="G13" s="36"/>
      <c r="H13" s="36"/>
      <c r="I13" s="138"/>
    </row>
    <row r="14" spans="1:9" ht="22.5" customHeight="1">
      <c r="A14" s="35"/>
      <c r="B14" s="6"/>
      <c r="C14" s="8"/>
      <c r="D14" s="8"/>
      <c r="E14" s="8"/>
      <c r="F14" s="36"/>
      <c r="G14" s="36"/>
      <c r="H14" s="36"/>
      <c r="I14" s="36"/>
    </row>
    <row r="15" spans="1:9" ht="22.5" customHeight="1">
      <c r="A15" s="35"/>
      <c r="B15" s="6"/>
      <c r="C15" s="8"/>
      <c r="D15" s="8"/>
      <c r="E15" s="8"/>
      <c r="F15" s="36"/>
      <c r="G15" s="36"/>
      <c r="H15" s="36"/>
      <c r="I15" s="138"/>
    </row>
    <row r="16" spans="1:9" s="135" customFormat="1" ht="22.5" customHeight="1">
      <c r="A16" s="165"/>
      <c r="B16" s="168"/>
      <c r="C16" s="8"/>
      <c r="D16" s="166"/>
      <c r="E16" s="166"/>
      <c r="F16" s="169"/>
      <c r="G16" s="169"/>
      <c r="H16" s="169"/>
      <c r="I16" s="169"/>
    </row>
    <row r="17" spans="1:9" ht="22.5" customHeight="1">
      <c r="A17" s="35"/>
      <c r="B17" s="6"/>
      <c r="C17" s="315"/>
      <c r="D17" s="8"/>
      <c r="E17" s="8"/>
      <c r="F17" s="36"/>
      <c r="G17" s="36"/>
      <c r="H17" s="36"/>
      <c r="I17" s="138"/>
    </row>
    <row r="18" spans="1:9" ht="22.5" customHeight="1">
      <c r="A18" s="35"/>
      <c r="B18" s="6"/>
      <c r="C18" s="8"/>
      <c r="D18" s="8"/>
      <c r="E18" s="8"/>
      <c r="F18" s="36"/>
      <c r="G18" s="36"/>
      <c r="H18" s="36"/>
      <c r="I18" s="36"/>
    </row>
    <row r="19" spans="1:9" ht="22.5" customHeight="1">
      <c r="A19" s="8"/>
      <c r="B19" s="6"/>
      <c r="C19" s="8"/>
      <c r="D19" s="8"/>
      <c r="E19" s="8"/>
      <c r="F19" s="36"/>
      <c r="G19" s="36"/>
      <c r="H19" s="36"/>
      <c r="I19" s="36"/>
    </row>
    <row r="20" spans="1:9" ht="22.5" customHeight="1">
      <c r="A20" s="35"/>
      <c r="B20" s="6"/>
      <c r="C20" s="8"/>
      <c r="D20" s="8"/>
      <c r="E20" s="8"/>
      <c r="F20" s="36"/>
      <c r="G20" s="36"/>
      <c r="H20" s="36"/>
      <c r="I20" s="138"/>
    </row>
    <row r="21" spans="1:9" ht="22.5" customHeight="1">
      <c r="A21" s="35"/>
      <c r="B21" s="6"/>
      <c r="C21" s="8"/>
      <c r="D21" s="8"/>
      <c r="E21" s="8"/>
      <c r="F21" s="36"/>
      <c r="G21" s="36"/>
      <c r="H21" s="36"/>
      <c r="I21" s="36"/>
    </row>
    <row r="22" spans="1:9" ht="22.5" customHeight="1">
      <c r="A22" s="8"/>
      <c r="B22" s="6"/>
      <c r="C22" s="8"/>
      <c r="D22" s="8"/>
      <c r="E22" s="8"/>
      <c r="F22" s="36"/>
      <c r="G22" s="36"/>
      <c r="H22" s="36"/>
      <c r="I22" s="36"/>
    </row>
    <row r="23" spans="1:9" ht="22.5" customHeight="1">
      <c r="A23" s="117"/>
      <c r="B23" s="6"/>
      <c r="C23" s="8"/>
      <c r="D23" s="8"/>
      <c r="E23" s="8"/>
      <c r="F23" s="36"/>
      <c r="G23" s="36"/>
      <c r="H23" s="36"/>
      <c r="I23" s="36"/>
    </row>
    <row r="24" spans="1:9" ht="22.5" customHeight="1">
      <c r="A24" s="116"/>
      <c r="C24" s="8"/>
      <c r="D24" s="174"/>
      <c r="E24" s="8"/>
      <c r="F24" s="142"/>
      <c r="G24" s="142"/>
      <c r="H24" s="142"/>
      <c r="I24" s="142"/>
    </row>
    <row r="25" spans="1:9" ht="22.5" customHeight="1">
      <c r="A25" s="8"/>
      <c r="B25" s="6"/>
      <c r="C25" s="8"/>
      <c r="D25" s="8"/>
      <c r="E25" s="8"/>
      <c r="F25" s="36"/>
      <c r="G25" s="36"/>
      <c r="H25" s="36"/>
      <c r="I25" s="138"/>
    </row>
    <row r="26" spans="1:9" ht="22.5" customHeight="1">
      <c r="A26" s="8"/>
      <c r="B26" s="8"/>
      <c r="C26" s="8"/>
      <c r="D26" s="8"/>
      <c r="E26" s="8"/>
      <c r="F26" s="8"/>
      <c r="G26" s="8"/>
      <c r="H26" s="8"/>
      <c r="I26" s="8"/>
    </row>
    <row r="27" spans="1:9" ht="22.5" customHeight="1">
      <c r="A27" s="8"/>
      <c r="B27" s="8"/>
      <c r="C27" s="8"/>
      <c r="D27" s="8"/>
      <c r="E27" s="8"/>
      <c r="F27" s="8"/>
      <c r="G27" s="8"/>
      <c r="H27" s="8"/>
      <c r="I27" s="8"/>
    </row>
  </sheetData>
  <pageMargins left="0.45" right="0.45" top="0.75" bottom="0.75" header="0.3" footer="0.3"/>
  <pageSetup scale="82"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codeName="Sheet12">
    <pageSetUpPr fitToPage="1"/>
  </sheetPr>
  <dimension ref="A1:E26"/>
  <sheetViews>
    <sheetView workbookViewId="0">
      <selection activeCell="D20" sqref="D20"/>
    </sheetView>
  </sheetViews>
  <sheetFormatPr defaultColWidth="8.85546875" defaultRowHeight="15"/>
  <cols>
    <col min="2" max="2" width="38.7109375" customWidth="1"/>
    <col min="3" max="3" width="6" customWidth="1"/>
    <col min="4" max="5" width="13.42578125" customWidth="1"/>
  </cols>
  <sheetData>
    <row r="1" spans="1:5">
      <c r="A1" s="5" t="str">
        <f>'Chart of Accounts GL'!A1</f>
        <v>AC Speed Corporation</v>
      </c>
      <c r="B1" s="4"/>
      <c r="C1" s="4"/>
      <c r="D1" s="4"/>
      <c r="E1" s="4"/>
    </row>
    <row r="2" spans="1:5">
      <c r="A2" s="5" t="s">
        <v>65</v>
      </c>
      <c r="B2" s="4"/>
      <c r="C2" s="4"/>
      <c r="D2" s="4"/>
      <c r="E2" s="4"/>
    </row>
    <row r="4" spans="1:5" s="1" customFormat="1" ht="30">
      <c r="A4" s="6" t="s">
        <v>35</v>
      </c>
      <c r="B4" s="6" t="s">
        <v>62</v>
      </c>
      <c r="C4" s="7" t="s">
        <v>38</v>
      </c>
      <c r="D4" s="6" t="s">
        <v>63</v>
      </c>
      <c r="E4" s="6" t="s">
        <v>64</v>
      </c>
    </row>
    <row r="5" spans="1:5" ht="24.75" customHeight="1">
      <c r="A5" s="35"/>
      <c r="B5" s="8"/>
      <c r="C5" s="8"/>
      <c r="D5" s="38"/>
      <c r="E5" s="8"/>
    </row>
    <row r="6" spans="1:5" ht="24.75" customHeight="1">
      <c r="A6" s="8"/>
      <c r="B6" s="8"/>
      <c r="C6" s="8"/>
      <c r="D6" s="8"/>
      <c r="E6" s="38"/>
    </row>
    <row r="7" spans="1:5" ht="24.75" customHeight="1">
      <c r="A7" s="8"/>
      <c r="B7" s="8"/>
      <c r="C7" s="8"/>
      <c r="D7" s="38"/>
      <c r="E7" s="8"/>
    </row>
    <row r="8" spans="1:5" ht="24.75" customHeight="1">
      <c r="A8" s="35"/>
      <c r="B8" s="8"/>
      <c r="C8" s="8"/>
      <c r="D8" s="36"/>
      <c r="E8" s="36"/>
    </row>
    <row r="9" spans="1:5" ht="24.75" customHeight="1">
      <c r="A9" s="8"/>
      <c r="B9" s="8"/>
      <c r="C9" s="8"/>
      <c r="D9" s="36"/>
      <c r="E9" s="36"/>
    </row>
    <row r="10" spans="1:5" ht="24.75" customHeight="1">
      <c r="A10" s="35"/>
      <c r="B10" s="8"/>
      <c r="C10" s="8"/>
      <c r="D10" s="36"/>
      <c r="E10" s="36"/>
    </row>
    <row r="11" spans="1:5" ht="24.75" customHeight="1">
      <c r="A11" s="35"/>
      <c r="B11" s="8"/>
      <c r="C11" s="8"/>
      <c r="D11" s="36"/>
      <c r="E11" s="36"/>
    </row>
    <row r="12" spans="1:5" ht="24.75" customHeight="1">
      <c r="A12" s="35"/>
      <c r="B12" s="8"/>
      <c r="C12" s="8"/>
      <c r="D12" s="36"/>
      <c r="E12" s="36"/>
    </row>
    <row r="13" spans="1:5" ht="24.75" customHeight="1">
      <c r="A13" s="35"/>
      <c r="B13" s="8"/>
      <c r="C13" s="118"/>
      <c r="D13" s="36"/>
      <c r="E13" s="36"/>
    </row>
    <row r="14" spans="1:5" ht="24.75" customHeight="1">
      <c r="A14" s="8"/>
      <c r="B14" s="8"/>
      <c r="C14" s="8"/>
      <c r="D14" s="36"/>
      <c r="E14" s="36"/>
    </row>
    <row r="15" spans="1:5" ht="24.75" customHeight="1">
      <c r="A15" s="8"/>
      <c r="B15" s="8"/>
      <c r="C15" s="8"/>
      <c r="D15" s="8"/>
      <c r="E15" s="8"/>
    </row>
    <row r="16" spans="1:5" ht="24.75" customHeight="1">
      <c r="A16" s="35"/>
      <c r="B16" s="118"/>
      <c r="C16" s="8"/>
      <c r="D16" s="36"/>
      <c r="E16" s="36"/>
    </row>
    <row r="17" spans="1:5" ht="24.75" customHeight="1">
      <c r="A17" s="8"/>
      <c r="B17" s="8"/>
      <c r="C17" s="8"/>
      <c r="D17" s="36"/>
      <c r="E17" s="36"/>
    </row>
    <row r="18" spans="1:5" ht="24.75" customHeight="1">
      <c r="A18" s="8"/>
      <c r="B18" s="8"/>
      <c r="C18" s="8"/>
      <c r="D18" s="36"/>
      <c r="E18" s="36"/>
    </row>
    <row r="19" spans="1:5" ht="24.75" customHeight="1">
      <c r="A19" s="35"/>
      <c r="C19" s="118"/>
      <c r="D19" s="36"/>
      <c r="E19" s="36"/>
    </row>
    <row r="20" spans="1:5" ht="24.75" customHeight="1">
      <c r="A20" s="8"/>
      <c r="B20" s="8"/>
      <c r="C20" s="8"/>
      <c r="D20" s="36"/>
      <c r="E20" s="36"/>
    </row>
    <row r="21" spans="1:5" ht="24.75" customHeight="1">
      <c r="A21" s="8"/>
      <c r="B21" s="8"/>
      <c r="C21" s="8"/>
      <c r="D21" s="8"/>
      <c r="E21" s="8"/>
    </row>
    <row r="22" spans="1:5" ht="24.75" customHeight="1">
      <c r="A22" s="8"/>
      <c r="B22" s="8"/>
      <c r="C22" s="8"/>
      <c r="D22" s="38"/>
      <c r="E22" s="38"/>
    </row>
    <row r="23" spans="1:5" ht="24.75" customHeight="1">
      <c r="A23" s="35"/>
      <c r="B23" s="8"/>
      <c r="C23" s="8"/>
      <c r="D23" s="8"/>
      <c r="E23" s="8"/>
    </row>
    <row r="24" spans="1:5" ht="24.75" customHeight="1">
      <c r="A24" s="8"/>
      <c r="B24" s="8"/>
      <c r="C24" s="8"/>
      <c r="D24" s="8"/>
      <c r="E24" s="8"/>
    </row>
    <row r="25" spans="1:5" ht="24.75" customHeight="1">
      <c r="A25" s="8"/>
      <c r="B25" s="8"/>
      <c r="C25" s="8"/>
      <c r="D25" s="8"/>
      <c r="E25" s="8"/>
    </row>
    <row r="26" spans="1:5" ht="24.75" customHeight="1">
      <c r="A26" s="8"/>
      <c r="B26" s="8"/>
      <c r="C26" s="8"/>
      <c r="D26" s="8"/>
      <c r="E26" s="8"/>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codeName="Sheet13">
    <pageSetUpPr fitToPage="1"/>
  </sheetPr>
  <dimension ref="A1:F25"/>
  <sheetViews>
    <sheetView workbookViewId="0">
      <selection activeCell="F12" sqref="F12"/>
    </sheetView>
  </sheetViews>
  <sheetFormatPr defaultColWidth="8.85546875" defaultRowHeight="15"/>
  <cols>
    <col min="2" max="2" width="4.28515625" style="1" customWidth="1"/>
    <col min="3" max="3" width="51.28515625" bestFit="1" customWidth="1"/>
    <col min="4" max="4" width="6" customWidth="1"/>
    <col min="5" max="6" width="13.42578125" customWidth="1"/>
  </cols>
  <sheetData>
    <row r="1" spans="1:6">
      <c r="A1" s="134" t="str">
        <f>'Chart of Accounts GL'!A1</f>
        <v>AC Speed Corporation</v>
      </c>
      <c r="B1" s="81"/>
      <c r="C1" s="4"/>
      <c r="D1" s="4"/>
      <c r="E1" s="4"/>
      <c r="F1" s="4"/>
    </row>
    <row r="2" spans="1:6">
      <c r="A2" s="134" t="s">
        <v>65</v>
      </c>
      <c r="B2" s="81"/>
      <c r="C2" s="4"/>
      <c r="D2" s="4"/>
      <c r="E2" s="4"/>
      <c r="F2" s="4"/>
    </row>
    <row r="4" spans="1:6" s="1" customFormat="1" ht="30">
      <c r="A4" s="6" t="s">
        <v>35</v>
      </c>
      <c r="B4" s="6"/>
      <c r="C4" s="6" t="s">
        <v>62</v>
      </c>
      <c r="D4" s="7" t="s">
        <v>38</v>
      </c>
      <c r="E4" s="6" t="s">
        <v>63</v>
      </c>
      <c r="F4" s="6" t="s">
        <v>64</v>
      </c>
    </row>
    <row r="5" spans="1:6" ht="24.75" customHeight="1">
      <c r="A5" s="8"/>
      <c r="B5" s="6"/>
      <c r="C5" s="8"/>
      <c r="D5" s="195"/>
      <c r="E5" s="197"/>
      <c r="F5" s="197"/>
    </row>
    <row r="6" spans="1:6" ht="24.75" customHeight="1">
      <c r="A6" s="35"/>
      <c r="B6" s="82"/>
      <c r="C6" s="8"/>
      <c r="D6" s="195"/>
      <c r="E6" s="197"/>
      <c r="F6" s="197"/>
    </row>
    <row r="7" spans="1:6" ht="24.75" customHeight="1">
      <c r="A7" s="8"/>
      <c r="B7" s="6"/>
      <c r="C7" s="8"/>
      <c r="D7" s="195"/>
      <c r="E7" s="197"/>
      <c r="F7" s="197"/>
    </row>
    <row r="8" spans="1:6" ht="24.75" customHeight="1">
      <c r="A8" s="8"/>
      <c r="B8" s="6"/>
      <c r="C8" s="8"/>
      <c r="D8" s="195"/>
      <c r="E8" s="197"/>
      <c r="F8" s="197"/>
    </row>
    <row r="9" spans="1:6" ht="24.75" customHeight="1">
      <c r="A9" s="35"/>
      <c r="B9" s="82"/>
      <c r="C9" s="8"/>
      <c r="D9" s="195"/>
      <c r="E9" s="197"/>
      <c r="F9" s="197"/>
    </row>
    <row r="10" spans="1:6" ht="24.75" customHeight="1">
      <c r="A10" s="8"/>
      <c r="B10" s="6"/>
      <c r="C10" s="8"/>
      <c r="D10" s="195"/>
      <c r="E10" s="197"/>
      <c r="F10" s="197"/>
    </row>
    <row r="11" spans="1:6" ht="24.75" customHeight="1">
      <c r="A11" s="8"/>
      <c r="B11" s="6"/>
      <c r="C11" s="8"/>
      <c r="D11" s="195"/>
      <c r="E11" s="197"/>
      <c r="F11" s="197"/>
    </row>
    <row r="12" spans="1:6" ht="24.75" customHeight="1">
      <c r="A12" s="35"/>
      <c r="B12" s="6"/>
      <c r="C12" s="8"/>
      <c r="D12" s="195"/>
      <c r="E12" s="198"/>
      <c r="F12" s="197"/>
    </row>
    <row r="13" spans="1:6" ht="24.75" customHeight="1">
      <c r="A13" s="8"/>
      <c r="B13" s="6"/>
      <c r="C13" s="8"/>
      <c r="D13" s="195"/>
      <c r="E13" s="197"/>
      <c r="F13" s="197"/>
    </row>
    <row r="14" spans="1:6" ht="24.75" customHeight="1">
      <c r="A14" s="8"/>
      <c r="B14" s="6"/>
      <c r="C14" s="8"/>
      <c r="D14" s="195"/>
      <c r="E14" s="197"/>
      <c r="F14" s="197"/>
    </row>
    <row r="15" spans="1:6" ht="24.75" customHeight="1">
      <c r="A15" s="35"/>
      <c r="B15" s="6"/>
      <c r="C15" s="8"/>
      <c r="D15" s="195"/>
      <c r="E15" s="198"/>
      <c r="F15" s="198"/>
    </row>
    <row r="16" spans="1:6" ht="24.75" customHeight="1">
      <c r="A16" s="8"/>
      <c r="B16" s="6"/>
      <c r="C16" s="8"/>
      <c r="D16" s="195"/>
      <c r="E16" s="198"/>
      <c r="F16" s="198"/>
    </row>
    <row r="17" spans="1:6" ht="24.75" customHeight="1">
      <c r="A17" s="8"/>
      <c r="B17" s="6"/>
      <c r="C17" s="8"/>
      <c r="D17" s="195"/>
      <c r="E17" s="197"/>
      <c r="F17" s="197"/>
    </row>
    <row r="18" spans="1:6" ht="24.75" customHeight="1">
      <c r="A18" s="35"/>
      <c r="B18" s="6"/>
      <c r="C18" s="8"/>
      <c r="D18" s="195"/>
      <c r="E18" s="197"/>
      <c r="F18" s="197"/>
    </row>
    <row r="19" spans="1:6" ht="24.75" customHeight="1">
      <c r="A19" s="8"/>
      <c r="B19" s="6"/>
      <c r="C19" s="8"/>
      <c r="D19" s="195"/>
      <c r="E19" s="197"/>
      <c r="F19" s="197"/>
    </row>
    <row r="20" spans="1:6" ht="24.75" customHeight="1">
      <c r="A20" s="8"/>
      <c r="B20" s="6"/>
      <c r="C20" s="8"/>
      <c r="D20" s="195"/>
      <c r="E20" s="197"/>
      <c r="F20" s="197"/>
    </row>
    <row r="21" spans="1:6" ht="24.75" customHeight="1">
      <c r="A21" s="35"/>
      <c r="B21" s="6"/>
      <c r="C21" s="8"/>
      <c r="D21" s="195"/>
      <c r="E21" s="197"/>
      <c r="F21" s="197"/>
    </row>
    <row r="22" spans="1:6" ht="24.75" customHeight="1">
      <c r="A22" s="8"/>
      <c r="B22" s="6"/>
      <c r="C22" s="8"/>
      <c r="D22" s="195"/>
      <c r="E22" s="197"/>
      <c r="F22" s="197"/>
    </row>
    <row r="23" spans="1:6" ht="24.75" customHeight="1">
      <c r="A23" s="8"/>
      <c r="B23" s="6"/>
      <c r="C23" s="8"/>
      <c r="D23" s="195"/>
      <c r="E23" s="197"/>
      <c r="F23" s="197"/>
    </row>
    <row r="24" spans="1:6" ht="24.75" customHeight="1">
      <c r="A24" s="35"/>
      <c r="B24" s="6"/>
      <c r="C24" s="8"/>
      <c r="D24" s="195"/>
      <c r="E24" s="319"/>
      <c r="F24" s="197"/>
    </row>
    <row r="25" spans="1:6" ht="24.75" customHeight="1">
      <c r="A25" s="8"/>
      <c r="B25" s="6"/>
      <c r="C25" s="8"/>
      <c r="D25" s="195"/>
      <c r="E25" s="197"/>
      <c r="F25" s="319"/>
    </row>
  </sheetData>
  <pageMargins left="0.7" right="0.7" top="0.75" bottom="0.75" header="0.3" footer="0.3"/>
  <pageSetup scale="78"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codeName="Sheet14">
    <pageSetUpPr fitToPage="1"/>
  </sheetPr>
  <dimension ref="A1:E36"/>
  <sheetViews>
    <sheetView workbookViewId="0"/>
  </sheetViews>
  <sheetFormatPr defaultColWidth="8.85546875" defaultRowHeight="15"/>
  <cols>
    <col min="2" max="2" width="51" bestFit="1" customWidth="1"/>
    <col min="3" max="3" width="6" customWidth="1"/>
    <col min="4" max="5" width="13.42578125" customWidth="1"/>
  </cols>
  <sheetData>
    <row r="1" spans="1:5">
      <c r="A1" s="5" t="str">
        <f>'Chart of Accounts GL'!A1</f>
        <v>AC Speed Corporation</v>
      </c>
      <c r="B1" s="4"/>
      <c r="C1" s="4"/>
      <c r="D1" s="4"/>
      <c r="E1" s="4"/>
    </row>
    <row r="2" spans="1:5">
      <c r="A2" s="5" t="s">
        <v>65</v>
      </c>
      <c r="B2" s="4"/>
      <c r="C2" s="4"/>
      <c r="D2" s="4"/>
      <c r="E2" s="4"/>
    </row>
    <row r="4" spans="1:5" s="1" customFormat="1" ht="30">
      <c r="A4" s="6" t="s">
        <v>35</v>
      </c>
      <c r="B4" s="6" t="s">
        <v>62</v>
      </c>
      <c r="C4" s="7" t="s">
        <v>38</v>
      </c>
      <c r="D4" s="6" t="s">
        <v>63</v>
      </c>
      <c r="E4" s="6" t="s">
        <v>64</v>
      </c>
    </row>
    <row r="5" spans="1:5" ht="24.75" customHeight="1">
      <c r="A5" s="35"/>
      <c r="B5" s="8"/>
      <c r="C5" s="8"/>
      <c r="D5" s="113"/>
      <c r="E5" s="8"/>
    </row>
    <row r="6" spans="1:5" ht="24.75" customHeight="1">
      <c r="A6" s="8"/>
      <c r="B6" s="8"/>
      <c r="C6" s="8"/>
      <c r="D6" s="113"/>
      <c r="E6" s="8"/>
    </row>
    <row r="7" spans="1:5" ht="24.75" customHeight="1">
      <c r="A7" s="8"/>
      <c r="B7" s="8"/>
      <c r="C7" s="8"/>
      <c r="D7" s="8"/>
      <c r="E7" s="113"/>
    </row>
    <row r="8" spans="1:5" ht="24.75" customHeight="1">
      <c r="A8" s="8"/>
      <c r="B8" s="8"/>
      <c r="C8" s="8"/>
      <c r="D8" s="8"/>
      <c r="E8" s="8"/>
    </row>
    <row r="9" spans="1:5" ht="24.75" customHeight="1">
      <c r="A9" s="8"/>
      <c r="B9" s="8"/>
      <c r="C9" s="8"/>
      <c r="D9" s="113"/>
      <c r="E9" s="8"/>
    </row>
    <row r="10" spans="1:5" ht="24.75" customHeight="1">
      <c r="A10" s="8"/>
      <c r="B10" s="8"/>
      <c r="C10" s="8"/>
      <c r="D10" s="8"/>
      <c r="E10" s="113"/>
    </row>
    <row r="11" spans="1:5" ht="24.75" customHeight="1">
      <c r="A11" s="8"/>
      <c r="B11" s="8"/>
      <c r="C11" s="8"/>
      <c r="D11" s="8"/>
      <c r="E11" s="113"/>
    </row>
    <row r="12" spans="1:5" ht="24.75" customHeight="1">
      <c r="A12" s="8"/>
      <c r="B12" s="8"/>
      <c r="C12" s="8"/>
      <c r="D12" s="8"/>
      <c r="E12" s="113"/>
    </row>
    <row r="13" spans="1:5" ht="24.75" customHeight="1">
      <c r="A13" s="8"/>
      <c r="B13" s="8"/>
      <c r="C13" s="8"/>
      <c r="D13" s="8"/>
      <c r="E13" s="113"/>
    </row>
    <row r="14" spans="1:5" ht="24.75" customHeight="1">
      <c r="A14" s="8"/>
      <c r="B14" s="8"/>
      <c r="C14" s="8"/>
      <c r="D14" s="8"/>
      <c r="E14" s="113"/>
    </row>
    <row r="15" spans="1:5" ht="24.75" customHeight="1">
      <c r="A15" s="8"/>
      <c r="B15" s="8"/>
      <c r="C15" s="8"/>
      <c r="D15" s="8"/>
      <c r="E15" s="113"/>
    </row>
    <row r="16" spans="1:5" ht="24.75" customHeight="1">
      <c r="A16" s="8"/>
      <c r="B16" s="8"/>
      <c r="C16" s="8"/>
      <c r="D16" s="8"/>
      <c r="E16" s="113"/>
    </row>
    <row r="17" spans="1:5" ht="24.75" customHeight="1">
      <c r="A17" s="8"/>
      <c r="B17" s="8"/>
      <c r="C17" s="8"/>
      <c r="D17" s="8"/>
      <c r="E17" s="113"/>
    </row>
    <row r="18" spans="1:5" ht="24.75" customHeight="1">
      <c r="A18" s="8"/>
      <c r="B18" s="8"/>
      <c r="C18" s="8"/>
      <c r="D18" s="8"/>
      <c r="E18" s="113"/>
    </row>
    <row r="19" spans="1:5" ht="24.75" customHeight="1">
      <c r="A19" s="8"/>
      <c r="B19" s="8"/>
      <c r="C19" s="8"/>
      <c r="D19" s="8"/>
      <c r="E19" s="113"/>
    </row>
    <row r="20" spans="1:5" ht="24.75" customHeight="1">
      <c r="A20" s="8"/>
      <c r="B20" s="8"/>
      <c r="C20" s="8"/>
      <c r="D20" s="8"/>
      <c r="E20" s="113"/>
    </row>
    <row r="21" spans="1:5" ht="24.75" customHeight="1">
      <c r="A21" s="8"/>
      <c r="B21" s="8"/>
      <c r="C21" s="8"/>
      <c r="D21" s="8"/>
      <c r="E21" s="113"/>
    </row>
    <row r="22" spans="1:5" ht="24.75" customHeight="1">
      <c r="A22" s="8"/>
      <c r="B22" s="8"/>
      <c r="C22" s="8"/>
      <c r="D22" s="8"/>
      <c r="E22" s="113"/>
    </row>
    <row r="23" spans="1:5" ht="24.75" customHeight="1">
      <c r="A23" s="8"/>
      <c r="B23" s="8"/>
      <c r="C23" s="8"/>
      <c r="D23" s="8"/>
      <c r="E23" s="113"/>
    </row>
    <row r="24" spans="1:5" ht="24.75" customHeight="1">
      <c r="A24" s="8"/>
      <c r="B24" s="8"/>
      <c r="C24" s="8"/>
      <c r="D24" s="8"/>
      <c r="E24" s="113"/>
    </row>
    <row r="25" spans="1:5" ht="24.75" customHeight="1">
      <c r="A25" s="8"/>
      <c r="B25" s="8"/>
      <c r="C25" s="8"/>
      <c r="D25" s="8"/>
      <c r="E25" s="8"/>
    </row>
    <row r="26" spans="1:5" ht="24.75" customHeight="1">
      <c r="A26" s="35"/>
      <c r="B26" s="8"/>
      <c r="C26" s="8"/>
      <c r="D26" s="113"/>
      <c r="E26" s="8"/>
    </row>
    <row r="27" spans="1:5" ht="24.75" customHeight="1">
      <c r="A27" s="8"/>
      <c r="B27" s="8"/>
      <c r="C27" s="8"/>
      <c r="D27" s="8"/>
      <c r="E27" s="113"/>
    </row>
    <row r="28" spans="1:5" ht="24.75" customHeight="1">
      <c r="A28" s="8"/>
      <c r="B28" s="8"/>
      <c r="C28" s="8"/>
      <c r="D28" s="8"/>
      <c r="E28" s="8"/>
    </row>
    <row r="29" spans="1:5" ht="24.75" customHeight="1">
      <c r="A29" s="8"/>
      <c r="B29" s="8"/>
      <c r="C29" s="8"/>
      <c r="D29" s="8"/>
      <c r="E29" s="8"/>
    </row>
    <row r="30" spans="1:5" ht="24.75" customHeight="1">
      <c r="A30" s="8"/>
      <c r="B30" s="8"/>
      <c r="C30" s="8"/>
      <c r="D30" s="8"/>
      <c r="E30" s="8"/>
    </row>
    <row r="31" spans="1:5" ht="24.75" customHeight="1">
      <c r="A31" s="8"/>
      <c r="B31" s="8"/>
      <c r="C31" s="8"/>
      <c r="D31" s="8"/>
      <c r="E31" s="8"/>
    </row>
    <row r="32" spans="1:5" ht="24.75" customHeight="1">
      <c r="A32" s="8"/>
      <c r="B32" s="8"/>
      <c r="C32" s="8"/>
      <c r="D32" s="8"/>
      <c r="E32" s="8"/>
    </row>
    <row r="33" spans="1:5" ht="24.75" customHeight="1">
      <c r="A33" s="8"/>
      <c r="B33" s="8"/>
      <c r="C33" s="8"/>
      <c r="D33" s="8"/>
      <c r="E33" s="8"/>
    </row>
    <row r="34" spans="1:5" ht="24.75" customHeight="1">
      <c r="A34" s="8"/>
      <c r="B34" s="8"/>
      <c r="C34" s="8"/>
      <c r="D34" s="8"/>
      <c r="E34" s="8"/>
    </row>
    <row r="35" spans="1:5" ht="24.75" customHeight="1">
      <c r="A35" s="8"/>
      <c r="B35" s="8"/>
      <c r="C35" s="8"/>
      <c r="D35" s="8"/>
      <c r="E35" s="8"/>
    </row>
    <row r="36" spans="1:5" ht="24.75" customHeight="1">
      <c r="A36" s="8"/>
      <c r="B36" s="8"/>
      <c r="C36" s="8"/>
      <c r="D36" s="8"/>
      <c r="E36" s="8"/>
    </row>
  </sheetData>
  <pageMargins left="0.7" right="0.7" top="0.75" bottom="0.75" header="0.3" footer="0.3"/>
  <pageSetup scale="81"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codeName="Sheet15"/>
  <dimension ref="A1:Q582"/>
  <sheetViews>
    <sheetView workbookViewId="0">
      <selection activeCell="E8" sqref="E8"/>
    </sheetView>
  </sheetViews>
  <sheetFormatPr defaultColWidth="8.85546875" defaultRowHeight="15" outlineLevelRow="1"/>
  <cols>
    <col min="2" max="2" width="23" customWidth="1"/>
    <col min="3" max="3" width="7.42578125" style="10" customWidth="1"/>
    <col min="4" max="4" width="16.85546875" bestFit="1" customWidth="1"/>
    <col min="5" max="5" width="16.42578125" bestFit="1" customWidth="1"/>
    <col min="6" max="6" width="16.85546875" bestFit="1" customWidth="1"/>
    <col min="7" max="7" width="16.42578125" bestFit="1" customWidth="1"/>
    <col min="8" max="8" width="11.42578125" bestFit="1" customWidth="1"/>
  </cols>
  <sheetData>
    <row r="1" spans="1:8">
      <c r="A1" s="249" t="s">
        <v>73</v>
      </c>
      <c r="B1" s="249" t="str">
        <f>'Chart of Accounts GL'!B9</f>
        <v>Cash</v>
      </c>
      <c r="C1" s="250"/>
      <c r="D1" s="249"/>
      <c r="E1" s="249"/>
      <c r="F1" s="249" t="s">
        <v>71</v>
      </c>
      <c r="G1" s="249">
        <f>'Chart of Accounts GL'!A9</f>
        <v>100</v>
      </c>
    </row>
    <row r="2" spans="1:8" ht="15.75" outlineLevel="1" thickBot="1">
      <c r="A2" s="11"/>
      <c r="B2" s="12"/>
      <c r="C2" s="13"/>
      <c r="D2" s="14" t="s">
        <v>69</v>
      </c>
      <c r="E2" s="14"/>
      <c r="F2" s="14" t="s">
        <v>70</v>
      </c>
      <c r="G2" s="15"/>
    </row>
    <row r="3" spans="1:8" s="1" customFormat="1" ht="30" outlineLevel="1">
      <c r="A3" s="16" t="s">
        <v>35</v>
      </c>
      <c r="B3" s="17" t="s">
        <v>68</v>
      </c>
      <c r="C3" s="18" t="s">
        <v>38</v>
      </c>
      <c r="D3" s="17" t="s">
        <v>63</v>
      </c>
      <c r="E3" s="17" t="s">
        <v>64</v>
      </c>
      <c r="F3" s="17" t="s">
        <v>63</v>
      </c>
      <c r="G3" s="19" t="s">
        <v>64</v>
      </c>
    </row>
    <row r="4" spans="1:8" outlineLevel="1">
      <c r="A4" s="177">
        <v>40329</v>
      </c>
      <c r="B4" s="118" t="s">
        <v>98</v>
      </c>
      <c r="C4" s="139"/>
      <c r="D4" s="179"/>
      <c r="E4" s="179"/>
      <c r="F4" s="180">
        <v>75000</v>
      </c>
      <c r="G4" s="118"/>
    </row>
    <row r="5" spans="1:8" outlineLevel="1">
      <c r="A5" s="177"/>
      <c r="B5" s="118"/>
      <c r="C5" s="139"/>
      <c r="D5" s="179"/>
      <c r="E5" s="179"/>
      <c r="F5" s="140"/>
      <c r="G5" s="118"/>
    </row>
    <row r="6" spans="1:8" outlineLevel="1">
      <c r="A6" s="177"/>
      <c r="B6" s="118"/>
      <c r="C6" s="139"/>
      <c r="D6" s="179"/>
      <c r="E6" s="179"/>
      <c r="F6" s="140"/>
      <c r="G6" s="118"/>
    </row>
    <row r="7" spans="1:8" outlineLevel="1">
      <c r="A7" s="8"/>
      <c r="B7" s="8"/>
      <c r="C7" s="21"/>
      <c r="D7" s="178"/>
      <c r="E7" s="178"/>
      <c r="F7" s="8"/>
      <c r="G7" s="8"/>
      <c r="H7" s="192"/>
    </row>
    <row r="8" spans="1:8" outlineLevel="1">
      <c r="A8" s="8"/>
      <c r="B8" s="8"/>
      <c r="C8" s="21"/>
      <c r="D8" s="178"/>
      <c r="E8" s="178"/>
      <c r="F8" s="8"/>
      <c r="G8" s="8"/>
    </row>
    <row r="9" spans="1:8" outlineLevel="1">
      <c r="A9" s="8"/>
      <c r="B9" s="8"/>
      <c r="C9" s="21"/>
      <c r="D9" s="178"/>
      <c r="E9" s="178"/>
      <c r="F9" s="8"/>
      <c r="G9" s="8"/>
    </row>
    <row r="10" spans="1:8" outlineLevel="1">
      <c r="A10" s="8"/>
      <c r="B10" s="8"/>
      <c r="C10" s="21"/>
      <c r="D10" s="178"/>
      <c r="E10" s="178"/>
      <c r="F10" s="8"/>
      <c r="G10" s="8"/>
    </row>
    <row r="11" spans="1:8" outlineLevel="1">
      <c r="A11" s="8"/>
      <c r="B11" s="8"/>
      <c r="C11" s="21"/>
      <c r="D11" s="178"/>
      <c r="E11" s="178"/>
      <c r="F11" s="8"/>
      <c r="G11" s="8"/>
    </row>
    <row r="12" spans="1:8" outlineLevel="1"/>
    <row r="14" spans="1:8">
      <c r="A14" s="249" t="s">
        <v>73</v>
      </c>
      <c r="B14" s="249" t="str">
        <f>'Chart of Accounts GL'!B10</f>
        <v>Accounts Receivable</v>
      </c>
      <c r="C14" s="250"/>
      <c r="D14" s="249"/>
      <c r="E14" s="249"/>
      <c r="F14" s="249" t="s">
        <v>71</v>
      </c>
      <c r="G14" s="249">
        <f>'Chart of Accounts GL'!A10</f>
        <v>102</v>
      </c>
    </row>
    <row r="15" spans="1:8" ht="15.75" outlineLevel="1" thickBot="1">
      <c r="A15" s="11"/>
      <c r="B15" s="12"/>
      <c r="C15" s="13"/>
      <c r="D15" s="14" t="s">
        <v>69</v>
      </c>
      <c r="E15" s="14"/>
      <c r="F15" s="14" t="s">
        <v>70</v>
      </c>
      <c r="G15" s="15"/>
    </row>
    <row r="16" spans="1:8" ht="30" outlineLevel="1">
      <c r="A16" s="16" t="s">
        <v>35</v>
      </c>
      <c r="B16" s="17" t="s">
        <v>68</v>
      </c>
      <c r="C16" s="18" t="s">
        <v>38</v>
      </c>
      <c r="D16" s="17" t="s">
        <v>63</v>
      </c>
      <c r="E16" s="17" t="s">
        <v>64</v>
      </c>
      <c r="F16" s="17" t="s">
        <v>63</v>
      </c>
      <c r="G16" s="19" t="s">
        <v>64</v>
      </c>
    </row>
    <row r="17" spans="1:12" outlineLevel="1">
      <c r="A17" s="35">
        <v>40329</v>
      </c>
      <c r="B17" s="8" t="s">
        <v>98</v>
      </c>
      <c r="C17" s="21"/>
      <c r="D17" s="178"/>
      <c r="E17" s="178"/>
      <c r="F17" s="84">
        <f>'AR Ledger'!E4+'AR Ledger'!E17+'AR Ledger'!E30</f>
        <v>490000</v>
      </c>
      <c r="G17" s="8"/>
      <c r="H17" s="86"/>
      <c r="I17" s="86"/>
      <c r="J17" s="86"/>
      <c r="K17" s="86"/>
      <c r="L17" s="86"/>
    </row>
    <row r="18" spans="1:12" outlineLevel="1">
      <c r="A18" s="35"/>
      <c r="B18" s="8"/>
      <c r="C18" s="21"/>
      <c r="E18" s="178"/>
      <c r="F18" s="85"/>
      <c r="G18" s="8"/>
    </row>
    <row r="19" spans="1:12" outlineLevel="1">
      <c r="A19" s="35"/>
      <c r="B19" s="8"/>
      <c r="C19" s="21"/>
      <c r="D19" s="178"/>
      <c r="E19" s="178"/>
      <c r="F19" s="85"/>
      <c r="G19" s="8"/>
    </row>
    <row r="20" spans="1:12" outlineLevel="1">
      <c r="A20" s="35"/>
      <c r="B20" s="8"/>
      <c r="C20" s="21"/>
      <c r="D20" s="178"/>
      <c r="E20" s="178"/>
      <c r="F20" s="85"/>
      <c r="G20" s="8"/>
    </row>
    <row r="21" spans="1:12" outlineLevel="1">
      <c r="A21" s="35"/>
      <c r="B21" s="8"/>
      <c r="C21" s="21"/>
      <c r="D21" s="178"/>
      <c r="E21" s="178"/>
      <c r="F21" s="85"/>
      <c r="G21" s="8"/>
    </row>
    <row r="22" spans="1:12" outlineLevel="1">
      <c r="A22" s="8"/>
      <c r="B22" s="8"/>
      <c r="C22" s="21"/>
      <c r="D22" s="178"/>
      <c r="E22" s="178"/>
      <c r="F22" s="8"/>
      <c r="G22" s="8"/>
    </row>
    <row r="23" spans="1:12" outlineLevel="1">
      <c r="A23" s="8"/>
      <c r="B23" s="8"/>
      <c r="C23" s="21"/>
      <c r="D23" s="178"/>
      <c r="E23" s="178"/>
      <c r="F23" s="8"/>
      <c r="G23" s="8"/>
    </row>
    <row r="24" spans="1:12" outlineLevel="1">
      <c r="A24" s="8"/>
      <c r="B24" s="8"/>
      <c r="C24" s="21"/>
      <c r="D24" s="178"/>
      <c r="E24" s="178"/>
      <c r="F24" s="8"/>
      <c r="G24" s="8"/>
    </row>
    <row r="25" spans="1:12" outlineLevel="1"/>
    <row r="27" spans="1:12">
      <c r="A27" s="249" t="s">
        <v>73</v>
      </c>
      <c r="B27" s="249" t="str">
        <f>'Chart of Accounts GL'!B11</f>
        <v>Allowance for Doubtful Accounts</v>
      </c>
      <c r="C27" s="250"/>
      <c r="D27" s="249"/>
      <c r="E27" s="249"/>
      <c r="F27" s="249" t="s">
        <v>71</v>
      </c>
      <c r="G27" s="249">
        <f>'Chart of Accounts GL'!A11</f>
        <v>103</v>
      </c>
    </row>
    <row r="28" spans="1:12" ht="15.75" outlineLevel="1" thickBot="1">
      <c r="A28" s="11"/>
      <c r="B28" s="12"/>
      <c r="C28" s="13"/>
      <c r="D28" s="14" t="s">
        <v>69</v>
      </c>
      <c r="E28" s="14"/>
      <c r="F28" s="14" t="s">
        <v>70</v>
      </c>
      <c r="G28" s="15"/>
    </row>
    <row r="29" spans="1:12" ht="30" outlineLevel="1">
      <c r="A29" s="16" t="s">
        <v>35</v>
      </c>
      <c r="B29" s="17" t="s">
        <v>68</v>
      </c>
      <c r="C29" s="18" t="s">
        <v>38</v>
      </c>
      <c r="D29" s="17" t="s">
        <v>63</v>
      </c>
      <c r="E29" s="17" t="s">
        <v>64</v>
      </c>
      <c r="F29" s="17" t="s">
        <v>63</v>
      </c>
      <c r="G29" s="19" t="s">
        <v>64</v>
      </c>
    </row>
    <row r="30" spans="1:12" outlineLevel="1">
      <c r="A30" s="35">
        <v>40329</v>
      </c>
      <c r="B30" s="8" t="s">
        <v>98</v>
      </c>
      <c r="C30" s="21"/>
      <c r="D30" s="178"/>
      <c r="E30" s="178"/>
      <c r="F30" s="37"/>
      <c r="G30" s="36">
        <v>15000</v>
      </c>
    </row>
    <row r="31" spans="1:12" outlineLevel="1">
      <c r="A31" s="35"/>
      <c r="B31" s="8"/>
      <c r="C31" s="21"/>
      <c r="D31" s="178"/>
      <c r="E31" s="178"/>
      <c r="F31" s="38"/>
      <c r="G31" s="38"/>
    </row>
    <row r="32" spans="1:12" outlineLevel="1">
      <c r="A32" s="35"/>
      <c r="B32" s="8"/>
      <c r="C32" s="21"/>
      <c r="D32" s="178"/>
      <c r="E32" s="178"/>
      <c r="F32" s="38"/>
      <c r="G32" s="38"/>
    </row>
    <row r="33" spans="1:7" outlineLevel="1">
      <c r="A33" s="35"/>
      <c r="B33" s="8"/>
      <c r="C33" s="21"/>
      <c r="D33" s="178"/>
      <c r="E33" s="178"/>
      <c r="F33" s="38"/>
      <c r="G33" s="8"/>
    </row>
    <row r="34" spans="1:7" outlineLevel="1">
      <c r="A34" s="35"/>
      <c r="B34" s="8"/>
      <c r="C34" s="21"/>
      <c r="D34" s="178"/>
      <c r="E34" s="178"/>
      <c r="F34" s="38"/>
      <c r="G34" s="8"/>
    </row>
    <row r="35" spans="1:7" outlineLevel="1">
      <c r="A35" s="35"/>
      <c r="B35" s="8"/>
      <c r="C35" s="21"/>
      <c r="D35" s="178"/>
      <c r="E35" s="178"/>
      <c r="F35" s="38"/>
      <c r="G35" s="8"/>
    </row>
    <row r="36" spans="1:7" outlineLevel="1">
      <c r="A36" s="35"/>
      <c r="B36" s="8"/>
      <c r="C36" s="21"/>
      <c r="D36" s="178"/>
      <c r="E36" s="178"/>
      <c r="F36" s="38"/>
      <c r="G36" s="8"/>
    </row>
    <row r="37" spans="1:7" outlineLevel="1">
      <c r="A37" s="8"/>
      <c r="B37" s="8"/>
      <c r="C37" s="21"/>
      <c r="D37" s="178"/>
      <c r="E37" s="178"/>
      <c r="F37" s="8"/>
      <c r="G37" s="8"/>
    </row>
    <row r="39" spans="1:7">
      <c r="A39" s="249" t="s">
        <v>73</v>
      </c>
      <c r="B39" s="249" t="str">
        <f>'Chart of Accounts GL'!B12</f>
        <v>Merchandise Inventory</v>
      </c>
      <c r="C39" s="250"/>
      <c r="D39" s="249"/>
      <c r="E39" s="249"/>
      <c r="F39" s="249" t="s">
        <v>71</v>
      </c>
      <c r="G39" s="249">
        <f>'Chart of Accounts GL'!A12</f>
        <v>104</v>
      </c>
    </row>
    <row r="40" spans="1:7" ht="15.75" outlineLevel="1" thickBot="1">
      <c r="A40" s="11"/>
      <c r="B40" s="12"/>
      <c r="C40" s="13"/>
      <c r="D40" s="14" t="s">
        <v>69</v>
      </c>
      <c r="E40" s="14"/>
      <c r="F40" s="14" t="s">
        <v>70</v>
      </c>
      <c r="G40" s="15"/>
    </row>
    <row r="41" spans="1:7" ht="30" outlineLevel="1">
      <c r="A41" s="16" t="s">
        <v>35</v>
      </c>
      <c r="B41" s="17" t="s">
        <v>68</v>
      </c>
      <c r="C41" s="18" t="s">
        <v>38</v>
      </c>
      <c r="D41" s="17" t="s">
        <v>63</v>
      </c>
      <c r="E41" s="17" t="s">
        <v>64</v>
      </c>
      <c r="F41" s="17" t="s">
        <v>63</v>
      </c>
      <c r="G41" s="19" t="s">
        <v>64</v>
      </c>
    </row>
    <row r="42" spans="1:7" outlineLevel="1">
      <c r="A42" s="35">
        <v>40329</v>
      </c>
      <c r="B42" s="8" t="s">
        <v>98</v>
      </c>
      <c r="C42" s="21"/>
      <c r="D42" s="178"/>
      <c r="E42" s="178"/>
      <c r="F42" s="36">
        <f>'Inventory Control'!M4+'Inventory Control'!M19+'Inventory Control'!M32</f>
        <v>334000</v>
      </c>
      <c r="G42" s="178"/>
    </row>
    <row r="43" spans="1:7" outlineLevel="1">
      <c r="A43" s="35"/>
      <c r="B43" s="8"/>
      <c r="C43" s="21"/>
      <c r="D43" s="178"/>
      <c r="E43" s="178"/>
      <c r="F43" s="178"/>
      <c r="G43" s="178"/>
    </row>
    <row r="44" spans="1:7" outlineLevel="1">
      <c r="A44" s="35"/>
      <c r="B44" s="8"/>
      <c r="C44" s="21"/>
      <c r="D44" s="178"/>
      <c r="E44" s="178"/>
      <c r="F44" s="178"/>
      <c r="G44" s="178"/>
    </row>
    <row r="45" spans="1:7" outlineLevel="1">
      <c r="A45" s="35"/>
      <c r="B45" s="8"/>
      <c r="C45" s="21"/>
      <c r="D45" s="178"/>
      <c r="E45" s="178"/>
      <c r="F45" s="178"/>
      <c r="G45" s="178"/>
    </row>
    <row r="46" spans="1:7" outlineLevel="1">
      <c r="A46" s="35"/>
      <c r="B46" s="8"/>
      <c r="C46" s="21"/>
      <c r="D46" s="178"/>
      <c r="E46" s="178"/>
      <c r="F46" s="178"/>
      <c r="G46" s="178"/>
    </row>
    <row r="47" spans="1:7" outlineLevel="1">
      <c r="A47" s="35"/>
      <c r="B47" s="8"/>
      <c r="C47" s="21"/>
      <c r="D47" s="178"/>
      <c r="E47" s="178"/>
      <c r="F47" s="178"/>
      <c r="G47" s="178"/>
    </row>
    <row r="48" spans="1:7" outlineLevel="1">
      <c r="A48" s="35"/>
      <c r="B48" s="8"/>
      <c r="C48" s="21"/>
      <c r="D48" s="178"/>
      <c r="E48" s="178"/>
      <c r="F48" s="178"/>
      <c r="G48" s="178"/>
    </row>
    <row r="49" spans="1:7" outlineLevel="1">
      <c r="A49" s="177"/>
      <c r="B49" s="118"/>
      <c r="C49" s="139"/>
      <c r="D49" s="179"/>
      <c r="E49" s="179"/>
      <c r="F49" s="178"/>
      <c r="G49" s="179"/>
    </row>
    <row r="50" spans="1:7" outlineLevel="1">
      <c r="A50" s="35"/>
      <c r="B50" s="8"/>
      <c r="C50" s="21"/>
      <c r="D50" s="178"/>
      <c r="E50" s="178"/>
      <c r="F50" s="178"/>
      <c r="G50" s="8"/>
    </row>
    <row r="51" spans="1:7" outlineLevel="1">
      <c r="A51" s="8"/>
      <c r="B51" s="8"/>
      <c r="C51" s="21"/>
      <c r="D51" s="178"/>
      <c r="E51" s="178"/>
      <c r="F51" s="8"/>
      <c r="G51" s="8"/>
    </row>
    <row r="53" spans="1:7">
      <c r="A53" s="249" t="s">
        <v>73</v>
      </c>
      <c r="B53" s="249" t="str">
        <f>'Chart of Accounts GL'!B13</f>
        <v>Office Supplies</v>
      </c>
      <c r="C53" s="250"/>
      <c r="D53" s="249"/>
      <c r="E53" s="249"/>
      <c r="F53" s="249" t="s">
        <v>71</v>
      </c>
      <c r="G53" s="249">
        <f>'Chart of Accounts GL'!A13</f>
        <v>105</v>
      </c>
    </row>
    <row r="54" spans="1:7" ht="15.75" outlineLevel="1" thickBot="1">
      <c r="A54" s="11"/>
      <c r="B54" s="12"/>
      <c r="C54" s="13"/>
      <c r="D54" s="14" t="s">
        <v>69</v>
      </c>
      <c r="E54" s="14"/>
      <c r="F54" s="14" t="s">
        <v>70</v>
      </c>
      <c r="G54" s="15"/>
    </row>
    <row r="55" spans="1:7" ht="30" outlineLevel="1">
      <c r="A55" s="16" t="s">
        <v>35</v>
      </c>
      <c r="B55" s="17" t="s">
        <v>68</v>
      </c>
      <c r="C55" s="18" t="s">
        <v>38</v>
      </c>
      <c r="D55" s="17" t="s">
        <v>63</v>
      </c>
      <c r="E55" s="17" t="s">
        <v>64</v>
      </c>
      <c r="F55" s="17" t="s">
        <v>63</v>
      </c>
      <c r="G55" s="19" t="s">
        <v>64</v>
      </c>
    </row>
    <row r="56" spans="1:7" outlineLevel="1">
      <c r="A56" s="35">
        <v>40329</v>
      </c>
      <c r="B56" s="8" t="s">
        <v>98</v>
      </c>
      <c r="C56" s="21"/>
      <c r="D56" s="178"/>
      <c r="E56" s="178"/>
      <c r="F56" s="36">
        <v>2000</v>
      </c>
      <c r="G56" s="178"/>
    </row>
    <row r="57" spans="1:7" outlineLevel="1">
      <c r="A57" s="35"/>
      <c r="B57" s="8"/>
      <c r="C57" s="21"/>
      <c r="D57" s="178"/>
      <c r="E57" s="178"/>
      <c r="F57" s="178"/>
      <c r="G57" s="178"/>
    </row>
    <row r="58" spans="1:7" outlineLevel="1">
      <c r="A58" s="35"/>
      <c r="B58" s="8"/>
      <c r="C58" s="21"/>
      <c r="D58" s="178"/>
      <c r="E58" s="178"/>
      <c r="F58" s="178"/>
      <c r="G58" s="178"/>
    </row>
    <row r="59" spans="1:7" outlineLevel="1">
      <c r="A59" s="8"/>
      <c r="B59" s="8"/>
      <c r="C59" s="21"/>
      <c r="D59" s="8"/>
      <c r="E59" s="8"/>
      <c r="F59" s="8"/>
      <c r="G59" s="8"/>
    </row>
    <row r="60" spans="1:7" outlineLevel="1">
      <c r="A60" s="8"/>
      <c r="B60" s="8"/>
      <c r="C60" s="21"/>
      <c r="D60" s="8"/>
      <c r="E60" s="8"/>
      <c r="F60" s="8"/>
      <c r="G60" s="8"/>
    </row>
    <row r="61" spans="1:7" outlineLevel="1">
      <c r="A61" s="8"/>
      <c r="B61" s="8"/>
      <c r="C61" s="21"/>
      <c r="D61" s="8"/>
      <c r="E61" s="8"/>
      <c r="F61" s="8"/>
      <c r="G61" s="8"/>
    </row>
    <row r="62" spans="1:7" outlineLevel="1">
      <c r="A62" s="8"/>
      <c r="B62" s="8"/>
      <c r="C62" s="21"/>
      <c r="D62" s="8"/>
      <c r="E62" s="8"/>
      <c r="F62" s="8"/>
      <c r="G62" s="8"/>
    </row>
    <row r="63" spans="1:7" outlineLevel="1">
      <c r="A63" s="8"/>
      <c r="B63" s="8"/>
      <c r="C63" s="21"/>
      <c r="D63" s="8"/>
      <c r="E63" s="8"/>
      <c r="F63" s="8"/>
      <c r="G63" s="8"/>
    </row>
    <row r="64" spans="1:7" outlineLevel="1"/>
    <row r="66" spans="1:7">
      <c r="A66" s="249" t="s">
        <v>73</v>
      </c>
      <c r="B66" s="249" t="str">
        <f>'Chart of Accounts GL'!B14</f>
        <v>Prepaid Insurance</v>
      </c>
      <c r="C66" s="250"/>
      <c r="D66" s="249"/>
      <c r="E66" s="249"/>
      <c r="F66" s="249" t="s">
        <v>71</v>
      </c>
      <c r="G66" s="249">
        <f>'Chart of Accounts GL'!A14</f>
        <v>106</v>
      </c>
    </row>
    <row r="67" spans="1:7" ht="15.75" outlineLevel="1" thickBot="1">
      <c r="A67" s="11"/>
      <c r="B67" s="12"/>
      <c r="C67" s="13"/>
      <c r="D67" s="14" t="s">
        <v>69</v>
      </c>
      <c r="E67" s="14"/>
      <c r="F67" s="14" t="s">
        <v>70</v>
      </c>
      <c r="G67" s="15"/>
    </row>
    <row r="68" spans="1:7" ht="30" outlineLevel="1">
      <c r="A68" s="16" t="s">
        <v>35</v>
      </c>
      <c r="B68" s="17" t="s">
        <v>68</v>
      </c>
      <c r="C68" s="18" t="s">
        <v>38</v>
      </c>
      <c r="D68" s="17" t="s">
        <v>63</v>
      </c>
      <c r="E68" s="17" t="s">
        <v>64</v>
      </c>
      <c r="F68" s="17" t="s">
        <v>63</v>
      </c>
      <c r="G68" s="19" t="s">
        <v>64</v>
      </c>
    </row>
    <row r="69" spans="1:7" outlineLevel="1">
      <c r="A69" s="35">
        <v>40329</v>
      </c>
      <c r="B69" s="8"/>
      <c r="C69" s="21"/>
      <c r="D69" s="8"/>
      <c r="E69" s="36"/>
      <c r="F69" s="36">
        <f>'Data - ADJ JE'!I13</f>
        <v>14000</v>
      </c>
      <c r="G69" s="8"/>
    </row>
    <row r="70" spans="1:7" outlineLevel="1">
      <c r="A70" s="35"/>
      <c r="B70" s="8"/>
      <c r="C70" s="21"/>
      <c r="D70" s="8"/>
      <c r="E70" s="36"/>
      <c r="F70" s="36"/>
      <c r="G70" s="8"/>
    </row>
    <row r="71" spans="1:7" outlineLevel="1">
      <c r="A71" s="8"/>
      <c r="B71" s="8"/>
      <c r="C71" s="21"/>
      <c r="D71" s="8"/>
      <c r="E71" s="8"/>
      <c r="F71" s="8"/>
      <c r="G71" s="8"/>
    </row>
    <row r="72" spans="1:7" outlineLevel="1">
      <c r="A72" s="8"/>
      <c r="B72" s="8"/>
      <c r="C72" s="21"/>
      <c r="D72" s="8"/>
      <c r="E72" s="8"/>
      <c r="F72" s="8"/>
      <c r="G72" s="8"/>
    </row>
    <row r="73" spans="1:7" outlineLevel="1">
      <c r="A73" s="8"/>
      <c r="B73" s="8"/>
      <c r="C73" s="21"/>
      <c r="D73" s="8"/>
      <c r="E73" s="8"/>
      <c r="F73" s="8"/>
      <c r="G73" s="8"/>
    </row>
    <row r="74" spans="1:7" outlineLevel="1">
      <c r="A74" s="8"/>
      <c r="B74" s="8"/>
      <c r="C74" s="21"/>
      <c r="D74" s="8"/>
      <c r="E74" s="8"/>
      <c r="F74" s="8"/>
      <c r="G74" s="8"/>
    </row>
    <row r="75" spans="1:7" outlineLevel="1">
      <c r="A75" s="8"/>
      <c r="B75" s="8"/>
      <c r="C75" s="21"/>
      <c r="D75" s="8"/>
      <c r="E75" s="8"/>
      <c r="F75" s="8"/>
      <c r="G75" s="8"/>
    </row>
    <row r="76" spans="1:7" outlineLevel="1">
      <c r="A76" s="8"/>
      <c r="B76" s="8"/>
      <c r="C76" s="21"/>
      <c r="D76" s="8"/>
      <c r="E76" s="8"/>
      <c r="F76" s="8"/>
      <c r="G76" s="8"/>
    </row>
    <row r="77" spans="1:7" outlineLevel="1"/>
    <row r="79" spans="1:7">
      <c r="A79" s="249" t="s">
        <v>73</v>
      </c>
      <c r="B79" s="249" t="str">
        <f>'Chart of Accounts GL'!B16</f>
        <v>Land</v>
      </c>
      <c r="C79" s="250"/>
      <c r="D79" s="249"/>
      <c r="E79" s="249"/>
      <c r="F79" s="249" t="s">
        <v>71</v>
      </c>
      <c r="G79" s="249">
        <f>'Chart of Accounts GL'!A16</f>
        <v>140</v>
      </c>
    </row>
    <row r="80" spans="1:7" ht="15.75" outlineLevel="1" thickBot="1">
      <c r="A80" s="11"/>
      <c r="B80" s="12"/>
      <c r="C80" s="13"/>
      <c r="D80" s="14" t="s">
        <v>69</v>
      </c>
      <c r="E80" s="14"/>
      <c r="F80" s="14" t="s">
        <v>70</v>
      </c>
      <c r="G80" s="15"/>
    </row>
    <row r="81" spans="1:7" ht="30" outlineLevel="1">
      <c r="A81" s="16" t="s">
        <v>35</v>
      </c>
      <c r="B81" s="17" t="s">
        <v>68</v>
      </c>
      <c r="C81" s="18" t="s">
        <v>38</v>
      </c>
      <c r="D81" s="17" t="s">
        <v>63</v>
      </c>
      <c r="E81" s="17" t="s">
        <v>64</v>
      </c>
      <c r="F81" s="17" t="s">
        <v>63</v>
      </c>
      <c r="G81" s="19" t="s">
        <v>64</v>
      </c>
    </row>
    <row r="82" spans="1:7" outlineLevel="1">
      <c r="A82" s="35">
        <v>40330</v>
      </c>
      <c r="B82" s="8" t="s">
        <v>160</v>
      </c>
      <c r="C82" s="21"/>
      <c r="D82" s="36">
        <v>2000600</v>
      </c>
      <c r="E82" s="36"/>
      <c r="F82" s="36">
        <f>D82</f>
        <v>2000600</v>
      </c>
      <c r="G82" s="8"/>
    </row>
    <row r="83" spans="1:7" outlineLevel="1">
      <c r="A83" s="8"/>
      <c r="B83" s="8"/>
      <c r="C83" s="21"/>
      <c r="D83" s="8"/>
      <c r="E83" s="8"/>
      <c r="F83" s="8"/>
      <c r="G83" s="8"/>
    </row>
    <row r="84" spans="1:7" outlineLevel="1">
      <c r="A84" s="8"/>
      <c r="B84" s="8"/>
      <c r="C84" s="21"/>
      <c r="D84" s="8"/>
      <c r="E84" s="8"/>
      <c r="F84" s="8"/>
      <c r="G84" s="8"/>
    </row>
    <row r="85" spans="1:7" outlineLevel="1">
      <c r="A85" s="8"/>
      <c r="B85" s="8"/>
      <c r="C85" s="21"/>
      <c r="D85" s="8"/>
      <c r="E85" s="8"/>
      <c r="F85" s="8"/>
      <c r="G85" s="8"/>
    </row>
    <row r="86" spans="1:7" outlineLevel="1">
      <c r="A86" s="8"/>
      <c r="B86" s="8"/>
      <c r="C86" s="21"/>
      <c r="D86" s="8"/>
      <c r="E86" s="8"/>
      <c r="F86" s="8"/>
      <c r="G86" s="8"/>
    </row>
    <row r="87" spans="1:7" outlineLevel="1">
      <c r="A87" s="8"/>
      <c r="B87" s="8"/>
      <c r="C87" s="21"/>
      <c r="D87" s="8"/>
      <c r="E87" s="8"/>
      <c r="F87" s="8"/>
      <c r="G87" s="8"/>
    </row>
    <row r="88" spans="1:7" outlineLevel="1">
      <c r="A88" s="8"/>
      <c r="B88" s="8"/>
      <c r="C88" s="21"/>
      <c r="D88" s="8"/>
      <c r="E88" s="8"/>
      <c r="F88" s="8"/>
      <c r="G88" s="8"/>
    </row>
    <row r="89" spans="1:7" outlineLevel="1">
      <c r="A89" s="8"/>
      <c r="B89" s="8"/>
      <c r="C89" s="21"/>
      <c r="D89" s="8"/>
      <c r="E89" s="8"/>
      <c r="F89" s="8"/>
      <c r="G89" s="8"/>
    </row>
    <row r="90" spans="1:7" outlineLevel="1"/>
    <row r="92" spans="1:7">
      <c r="A92" s="249" t="s">
        <v>73</v>
      </c>
      <c r="B92" s="249" t="str">
        <f>'Chart of Accounts GL'!B17</f>
        <v>Building</v>
      </c>
      <c r="C92" s="250"/>
      <c r="D92" s="249"/>
      <c r="E92" s="249"/>
      <c r="F92" s="249" t="s">
        <v>71</v>
      </c>
      <c r="G92" s="249">
        <f>'Chart of Accounts GL'!A17</f>
        <v>145</v>
      </c>
    </row>
    <row r="93" spans="1:7" ht="15.75" outlineLevel="1" thickBot="1">
      <c r="A93" s="11"/>
      <c r="B93" s="12"/>
      <c r="C93" s="13"/>
      <c r="D93" s="14" t="s">
        <v>69</v>
      </c>
      <c r="E93" s="14"/>
      <c r="F93" s="14" t="s">
        <v>70</v>
      </c>
      <c r="G93" s="15"/>
    </row>
    <row r="94" spans="1:7" ht="30" outlineLevel="1">
      <c r="A94" s="16" t="s">
        <v>35</v>
      </c>
      <c r="B94" s="17" t="s">
        <v>68</v>
      </c>
      <c r="C94" s="18" t="s">
        <v>38</v>
      </c>
      <c r="D94" s="17" t="s">
        <v>63</v>
      </c>
      <c r="E94" s="17" t="s">
        <v>64</v>
      </c>
      <c r="F94" s="17" t="s">
        <v>63</v>
      </c>
      <c r="G94" s="19" t="s">
        <v>64</v>
      </c>
    </row>
    <row r="95" spans="1:7" outlineLevel="1">
      <c r="A95" s="35">
        <v>40330</v>
      </c>
      <c r="B95" s="8" t="s">
        <v>160</v>
      </c>
      <c r="C95" s="21"/>
      <c r="D95" s="36">
        <v>1500000</v>
      </c>
      <c r="E95" s="36"/>
      <c r="F95" s="36">
        <f>D95</f>
        <v>1500000</v>
      </c>
      <c r="G95" s="8"/>
    </row>
    <row r="96" spans="1:7" outlineLevel="1">
      <c r="A96" s="8"/>
      <c r="B96" s="8"/>
      <c r="C96" s="21"/>
      <c r="D96" s="8"/>
      <c r="E96" s="8"/>
      <c r="F96" s="8"/>
      <c r="G96" s="8"/>
    </row>
    <row r="97" spans="1:7" outlineLevel="1">
      <c r="A97" s="8"/>
      <c r="B97" s="8"/>
      <c r="C97" s="21"/>
      <c r="D97" s="8"/>
      <c r="E97" s="8"/>
      <c r="F97" s="8"/>
      <c r="G97" s="8"/>
    </row>
    <row r="98" spans="1:7" outlineLevel="1">
      <c r="A98" s="8"/>
      <c r="B98" s="8"/>
      <c r="C98" s="21"/>
      <c r="D98" s="8"/>
      <c r="E98" s="8"/>
      <c r="F98" s="8"/>
      <c r="G98" s="8"/>
    </row>
    <row r="99" spans="1:7" outlineLevel="1">
      <c r="A99" s="8"/>
      <c r="B99" s="8"/>
      <c r="C99" s="21"/>
      <c r="D99" s="8"/>
      <c r="E99" s="8"/>
      <c r="F99" s="8"/>
      <c r="G99" s="8"/>
    </row>
    <row r="100" spans="1:7" outlineLevel="1">
      <c r="A100" s="8"/>
      <c r="B100" s="8"/>
      <c r="C100" s="21"/>
      <c r="D100" s="8"/>
      <c r="E100" s="8"/>
      <c r="F100" s="8"/>
      <c r="G100" s="8"/>
    </row>
    <row r="101" spans="1:7" outlineLevel="1">
      <c r="A101" s="8"/>
      <c r="B101" s="8"/>
      <c r="C101" s="21"/>
      <c r="D101" s="8"/>
      <c r="E101" s="8"/>
      <c r="F101" s="8"/>
      <c r="G101" s="8"/>
    </row>
    <row r="102" spans="1:7" outlineLevel="1">
      <c r="A102" s="8"/>
      <c r="B102" s="8"/>
      <c r="C102" s="21"/>
      <c r="D102" s="8"/>
      <c r="E102" s="8"/>
      <c r="F102" s="8"/>
      <c r="G102" s="8"/>
    </row>
    <row r="103" spans="1:7" outlineLevel="1"/>
    <row r="105" spans="1:7">
      <c r="A105" s="249" t="s">
        <v>73</v>
      </c>
      <c r="B105" s="249" t="str">
        <f>'Chart of Accounts GL'!B18</f>
        <v>Accumulated Depreciation - Building</v>
      </c>
      <c r="C105" s="250"/>
      <c r="D105" s="249"/>
      <c r="E105" s="249"/>
      <c r="F105" s="249" t="s">
        <v>71</v>
      </c>
      <c r="G105" s="249">
        <f>'Chart of Accounts GL'!A18</f>
        <v>146</v>
      </c>
    </row>
    <row r="106" spans="1:7" ht="15.75" outlineLevel="1" thickBot="1">
      <c r="A106" s="11"/>
      <c r="B106" s="12"/>
      <c r="C106" s="13"/>
      <c r="D106" s="14" t="s">
        <v>69</v>
      </c>
      <c r="E106" s="14"/>
      <c r="F106" s="14" t="s">
        <v>70</v>
      </c>
      <c r="G106" s="15"/>
    </row>
    <row r="107" spans="1:7" ht="30" outlineLevel="1">
      <c r="A107" s="16" t="s">
        <v>35</v>
      </c>
      <c r="B107" s="17" t="s">
        <v>68</v>
      </c>
      <c r="C107" s="18" t="s">
        <v>38</v>
      </c>
      <c r="D107" s="17" t="s">
        <v>63</v>
      </c>
      <c r="E107" s="17" t="s">
        <v>64</v>
      </c>
      <c r="F107" s="17" t="s">
        <v>63</v>
      </c>
      <c r="G107" s="19" t="s">
        <v>64</v>
      </c>
    </row>
    <row r="108" spans="1:7" outlineLevel="1">
      <c r="A108" s="35">
        <v>40329</v>
      </c>
      <c r="B108" s="8" t="s">
        <v>160</v>
      </c>
      <c r="C108" s="21"/>
      <c r="D108" s="8"/>
      <c r="E108" s="36">
        <v>1500000</v>
      </c>
      <c r="F108" s="36"/>
      <c r="G108" s="36">
        <f>E108</f>
        <v>1500000</v>
      </c>
    </row>
    <row r="109" spans="1:7" outlineLevel="1">
      <c r="A109" s="8"/>
      <c r="B109" s="8"/>
      <c r="C109" s="21"/>
      <c r="D109" s="8"/>
      <c r="E109" s="8"/>
      <c r="F109" s="8"/>
      <c r="G109" s="8"/>
    </row>
    <row r="110" spans="1:7" outlineLevel="1">
      <c r="A110" s="8"/>
      <c r="B110" s="8"/>
      <c r="C110" s="21"/>
      <c r="D110" s="8"/>
      <c r="E110" s="8"/>
      <c r="F110" s="8"/>
      <c r="G110" s="8"/>
    </row>
    <row r="111" spans="1:7" outlineLevel="1">
      <c r="A111" s="8"/>
      <c r="B111" s="8"/>
      <c r="C111" s="21"/>
      <c r="D111" s="8"/>
      <c r="E111" s="8"/>
      <c r="F111" s="8"/>
      <c r="G111" s="8"/>
    </row>
    <row r="112" spans="1:7" outlineLevel="1">
      <c r="A112" s="8"/>
      <c r="B112" s="8"/>
      <c r="C112" s="21"/>
      <c r="D112" s="8"/>
      <c r="E112" s="8"/>
      <c r="F112" s="8"/>
      <c r="G112" s="8"/>
    </row>
    <row r="113" spans="1:7" outlineLevel="1">
      <c r="A113" s="8"/>
      <c r="B113" s="8"/>
      <c r="C113" s="21"/>
      <c r="D113" s="8"/>
      <c r="E113" s="8"/>
      <c r="F113" s="8"/>
      <c r="G113" s="8"/>
    </row>
    <row r="114" spans="1:7" outlineLevel="1">
      <c r="A114" s="8"/>
      <c r="B114" s="8"/>
      <c r="C114" s="21"/>
      <c r="D114" s="8"/>
      <c r="E114" s="8"/>
      <c r="F114" s="8"/>
      <c r="G114" s="8"/>
    </row>
    <row r="115" spans="1:7" outlineLevel="1">
      <c r="A115" s="8"/>
      <c r="B115" s="8"/>
      <c r="C115" s="21"/>
      <c r="D115" s="8"/>
      <c r="E115" s="8"/>
      <c r="F115" s="8"/>
      <c r="G115" s="8"/>
    </row>
    <row r="116" spans="1:7" outlineLevel="1">
      <c r="A116" s="20"/>
      <c r="B116" s="20"/>
      <c r="C116" s="39"/>
      <c r="D116" s="20"/>
      <c r="E116" s="20"/>
      <c r="F116" s="20"/>
      <c r="G116" s="20"/>
    </row>
    <row r="118" spans="1:7">
      <c r="A118" s="249" t="s">
        <v>73</v>
      </c>
      <c r="B118" s="249" t="str">
        <f>'Chart of Accounts GL'!B19</f>
        <v>Equipment &amp; Furniture - Warehouse</v>
      </c>
      <c r="C118" s="250"/>
      <c r="D118" s="249"/>
      <c r="E118" s="249"/>
      <c r="F118" s="249" t="s">
        <v>71</v>
      </c>
      <c r="G118" s="249">
        <f>'Chart of Accounts GL'!A19</f>
        <v>151</v>
      </c>
    </row>
    <row r="119" spans="1:7" ht="15.75" outlineLevel="1" thickBot="1">
      <c r="A119" s="11"/>
      <c r="B119" s="12"/>
      <c r="C119" s="13"/>
      <c r="D119" s="14" t="s">
        <v>69</v>
      </c>
      <c r="E119" s="14"/>
      <c r="F119" s="14" t="s">
        <v>70</v>
      </c>
      <c r="G119" s="15"/>
    </row>
    <row r="120" spans="1:7" ht="30" outlineLevel="1">
      <c r="A120" s="16" t="s">
        <v>35</v>
      </c>
      <c r="B120" s="17" t="s">
        <v>68</v>
      </c>
      <c r="C120" s="18" t="s">
        <v>38</v>
      </c>
      <c r="D120" s="17" t="s">
        <v>63</v>
      </c>
      <c r="E120" s="17" t="s">
        <v>64</v>
      </c>
      <c r="F120" s="17" t="s">
        <v>63</v>
      </c>
      <c r="G120" s="19" t="s">
        <v>64</v>
      </c>
    </row>
    <row r="121" spans="1:7" outlineLevel="1">
      <c r="A121" s="35">
        <v>40329</v>
      </c>
      <c r="B121" s="8" t="s">
        <v>98</v>
      </c>
      <c r="C121" s="21"/>
      <c r="D121" s="8"/>
      <c r="E121" s="8"/>
      <c r="F121" s="36">
        <v>10000</v>
      </c>
      <c r="G121" s="8"/>
    </row>
    <row r="122" spans="1:7" outlineLevel="1">
      <c r="A122" s="8"/>
      <c r="B122" s="8"/>
      <c r="C122" s="21"/>
      <c r="D122" s="8"/>
      <c r="E122" s="8"/>
      <c r="F122" s="8"/>
      <c r="G122" s="8"/>
    </row>
    <row r="123" spans="1:7" outlineLevel="1">
      <c r="A123" s="8"/>
      <c r="B123" s="8"/>
      <c r="C123" s="21"/>
      <c r="D123" s="8"/>
      <c r="E123" s="8"/>
      <c r="F123" s="8"/>
      <c r="G123" s="8"/>
    </row>
    <row r="124" spans="1:7" outlineLevel="1">
      <c r="A124" s="8"/>
      <c r="B124" s="8"/>
      <c r="C124" s="21"/>
      <c r="D124" s="8"/>
      <c r="E124" s="8"/>
      <c r="F124" s="8"/>
      <c r="G124" s="8"/>
    </row>
    <row r="125" spans="1:7" outlineLevel="1">
      <c r="A125" s="8"/>
      <c r="B125" s="8"/>
      <c r="C125" s="21"/>
      <c r="D125" s="8"/>
      <c r="E125" s="8"/>
      <c r="F125" s="8"/>
      <c r="G125" s="8"/>
    </row>
    <row r="126" spans="1:7" outlineLevel="1">
      <c r="A126" s="8"/>
      <c r="B126" s="8"/>
      <c r="C126" s="21"/>
      <c r="D126" s="8"/>
      <c r="E126" s="8"/>
      <c r="F126" s="8"/>
      <c r="G126" s="8"/>
    </row>
    <row r="127" spans="1:7" outlineLevel="1">
      <c r="A127" s="8"/>
      <c r="B127" s="8"/>
      <c r="C127" s="21"/>
      <c r="D127" s="8"/>
      <c r="E127" s="8"/>
      <c r="F127" s="8"/>
      <c r="G127" s="8"/>
    </row>
    <row r="128" spans="1:7" outlineLevel="1">
      <c r="A128" s="8"/>
      <c r="B128" s="8"/>
      <c r="C128" s="21"/>
      <c r="D128" s="8"/>
      <c r="E128" s="8"/>
      <c r="F128" s="8"/>
      <c r="G128" s="8"/>
    </row>
    <row r="129" spans="1:7" outlineLevel="1"/>
    <row r="131" spans="1:7">
      <c r="A131" s="249" t="s">
        <v>73</v>
      </c>
      <c r="B131" s="249" t="str">
        <f>'Chart of Accounts GL'!B20</f>
        <v>Accumulated Depreciation - Equip &amp; Furn. - Warehouse</v>
      </c>
      <c r="C131" s="250"/>
      <c r="D131" s="249"/>
      <c r="E131" s="249"/>
      <c r="F131" s="249" t="s">
        <v>71</v>
      </c>
      <c r="G131" s="249">
        <f>'Chart of Accounts GL'!A20</f>
        <v>152</v>
      </c>
    </row>
    <row r="132" spans="1:7" ht="15.75" outlineLevel="1" thickBot="1">
      <c r="A132" s="11"/>
      <c r="B132" s="12"/>
      <c r="C132" s="13"/>
      <c r="D132" s="14" t="s">
        <v>69</v>
      </c>
      <c r="E132" s="14"/>
      <c r="F132" s="14" t="s">
        <v>70</v>
      </c>
      <c r="G132" s="15"/>
    </row>
    <row r="133" spans="1:7" ht="30" outlineLevel="1">
      <c r="A133" s="16" t="s">
        <v>35</v>
      </c>
      <c r="B133" s="17" t="s">
        <v>68</v>
      </c>
      <c r="C133" s="18" t="s">
        <v>38</v>
      </c>
      <c r="D133" s="17" t="s">
        <v>63</v>
      </c>
      <c r="E133" s="17" t="s">
        <v>64</v>
      </c>
      <c r="F133" s="17" t="s">
        <v>63</v>
      </c>
      <c r="G133" s="19" t="s">
        <v>64</v>
      </c>
    </row>
    <row r="134" spans="1:7" outlineLevel="1">
      <c r="A134" s="35">
        <v>40329</v>
      </c>
      <c r="B134" s="8" t="s">
        <v>98</v>
      </c>
      <c r="C134" s="21"/>
      <c r="D134" s="8"/>
      <c r="E134" s="8"/>
      <c r="F134" s="8"/>
      <c r="G134" s="36">
        <v>1900</v>
      </c>
    </row>
    <row r="135" spans="1:7" outlineLevel="1">
      <c r="A135" s="35"/>
      <c r="B135" s="8"/>
      <c r="C135" s="21"/>
      <c r="D135" s="8"/>
      <c r="E135" s="8"/>
      <c r="F135" s="8"/>
      <c r="G135" s="38"/>
    </row>
    <row r="136" spans="1:7" outlineLevel="1">
      <c r="A136" s="8"/>
      <c r="B136" s="8"/>
      <c r="C136" s="21"/>
      <c r="D136" s="8"/>
      <c r="E136" s="8"/>
      <c r="F136" s="8"/>
      <c r="G136" s="8"/>
    </row>
    <row r="137" spans="1:7" outlineLevel="1">
      <c r="A137" s="8"/>
      <c r="B137" s="8"/>
      <c r="C137" s="21"/>
      <c r="D137" s="8"/>
      <c r="E137" s="8"/>
      <c r="F137" s="8"/>
      <c r="G137" s="8"/>
    </row>
    <row r="138" spans="1:7" outlineLevel="1">
      <c r="A138" s="8"/>
      <c r="B138" s="8"/>
      <c r="C138" s="21"/>
      <c r="D138" s="8"/>
      <c r="E138" s="8"/>
      <c r="F138" s="8"/>
      <c r="G138" s="8"/>
    </row>
    <row r="139" spans="1:7" outlineLevel="1">
      <c r="A139" s="8"/>
      <c r="B139" s="8"/>
      <c r="C139" s="21"/>
      <c r="D139" s="8"/>
      <c r="E139" s="8"/>
      <c r="F139" s="8"/>
      <c r="G139" s="8"/>
    </row>
    <row r="140" spans="1:7" outlineLevel="1">
      <c r="A140" s="8"/>
      <c r="B140" s="8"/>
      <c r="C140" s="21"/>
      <c r="D140" s="8"/>
      <c r="E140" s="8"/>
      <c r="F140" s="8"/>
      <c r="G140" s="8"/>
    </row>
    <row r="141" spans="1:7" outlineLevel="1">
      <c r="A141" s="8"/>
      <c r="B141" s="8"/>
      <c r="C141" s="21"/>
      <c r="D141" s="8"/>
      <c r="E141" s="8"/>
      <c r="F141" s="8"/>
      <c r="G141" s="8"/>
    </row>
    <row r="142" spans="1:7" outlineLevel="1"/>
    <row r="144" spans="1:7">
      <c r="A144" s="249" t="s">
        <v>73</v>
      </c>
      <c r="B144" s="249" t="str">
        <f>'Chart of Accounts GL'!B21</f>
        <v>Equipment &amp; Furniture - Office</v>
      </c>
      <c r="C144" s="250"/>
      <c r="D144" s="249"/>
      <c r="E144" s="249"/>
      <c r="F144" s="249" t="s">
        <v>71</v>
      </c>
      <c r="G144" s="249">
        <f>'Chart of Accounts GL'!A21</f>
        <v>153</v>
      </c>
    </row>
    <row r="145" spans="1:7" ht="15.75" outlineLevel="1" thickBot="1">
      <c r="A145" s="11"/>
      <c r="B145" s="12"/>
      <c r="C145" s="13"/>
      <c r="D145" s="14" t="s">
        <v>69</v>
      </c>
      <c r="E145" s="14"/>
      <c r="F145" s="14" t="s">
        <v>70</v>
      </c>
      <c r="G145" s="15"/>
    </row>
    <row r="146" spans="1:7" ht="30" outlineLevel="1">
      <c r="A146" s="16" t="s">
        <v>35</v>
      </c>
      <c r="B146" s="17" t="s">
        <v>68</v>
      </c>
      <c r="C146" s="18" t="s">
        <v>38</v>
      </c>
      <c r="D146" s="17" t="s">
        <v>63</v>
      </c>
      <c r="E146" s="17" t="s">
        <v>64</v>
      </c>
      <c r="F146" s="17" t="s">
        <v>63</v>
      </c>
      <c r="G146" s="19" t="s">
        <v>64</v>
      </c>
    </row>
    <row r="147" spans="1:7" outlineLevel="1">
      <c r="A147" s="35">
        <v>40329</v>
      </c>
      <c r="B147" s="8" t="s">
        <v>98</v>
      </c>
      <c r="C147" s="21"/>
      <c r="D147" s="8"/>
      <c r="E147" s="8"/>
      <c r="F147" s="36">
        <v>8500</v>
      </c>
      <c r="G147" s="8"/>
    </row>
    <row r="148" spans="1:7" outlineLevel="1">
      <c r="A148" s="35"/>
      <c r="B148" s="8"/>
      <c r="C148" s="21"/>
      <c r="D148" s="8"/>
      <c r="E148" s="8"/>
      <c r="F148" s="38"/>
      <c r="G148" s="8"/>
    </row>
    <row r="149" spans="1:7" outlineLevel="1">
      <c r="A149" s="8"/>
      <c r="B149" s="8"/>
      <c r="C149" s="21"/>
      <c r="D149" s="8"/>
      <c r="E149" s="8"/>
      <c r="F149" s="8"/>
      <c r="G149" s="8"/>
    </row>
    <row r="150" spans="1:7" outlineLevel="1">
      <c r="A150" s="8"/>
      <c r="B150" s="8"/>
      <c r="C150" s="21"/>
      <c r="D150" s="8"/>
      <c r="E150" s="8"/>
      <c r="F150" s="8"/>
      <c r="G150" s="8"/>
    </row>
    <row r="151" spans="1:7" outlineLevel="1">
      <c r="A151" s="8"/>
      <c r="B151" s="8"/>
      <c r="C151" s="21"/>
      <c r="D151" s="8"/>
      <c r="E151" s="8"/>
      <c r="F151" s="8"/>
      <c r="G151" s="8"/>
    </row>
    <row r="152" spans="1:7" outlineLevel="1">
      <c r="A152" s="8"/>
      <c r="B152" s="8"/>
      <c r="C152" s="21"/>
      <c r="D152" s="8"/>
      <c r="E152" s="8"/>
      <c r="F152" s="8"/>
      <c r="G152" s="8"/>
    </row>
    <row r="153" spans="1:7" outlineLevel="1">
      <c r="A153" s="8"/>
      <c r="B153" s="8"/>
      <c r="C153" s="21"/>
      <c r="D153" s="8"/>
      <c r="E153" s="8"/>
      <c r="F153" s="8"/>
      <c r="G153" s="8"/>
    </row>
    <row r="154" spans="1:7" outlineLevel="1">
      <c r="A154" s="8"/>
      <c r="B154" s="8"/>
      <c r="C154" s="21"/>
      <c r="D154" s="8"/>
      <c r="E154" s="8"/>
      <c r="F154" s="8"/>
      <c r="G154" s="8"/>
    </row>
    <row r="155" spans="1:7" outlineLevel="1"/>
    <row r="157" spans="1:7">
      <c r="A157" s="249" t="s">
        <v>73</v>
      </c>
      <c r="B157" s="249" t="str">
        <f>'Chart of Accounts GL'!B22</f>
        <v>Accumulated Depreciation - Equip &amp; Furn. - Office</v>
      </c>
      <c r="C157" s="250"/>
      <c r="D157" s="249"/>
      <c r="E157" s="249"/>
      <c r="F157" s="249" t="s">
        <v>71</v>
      </c>
      <c r="G157" s="249">
        <f>'Chart of Accounts GL'!A22</f>
        <v>154</v>
      </c>
    </row>
    <row r="158" spans="1:7" ht="15.75" outlineLevel="1" thickBot="1">
      <c r="A158" s="11"/>
      <c r="B158" s="12"/>
      <c r="C158" s="13"/>
      <c r="D158" s="14" t="s">
        <v>69</v>
      </c>
      <c r="E158" s="14"/>
      <c r="F158" s="14" t="s">
        <v>70</v>
      </c>
      <c r="G158" s="15"/>
    </row>
    <row r="159" spans="1:7" ht="30" outlineLevel="1">
      <c r="A159" s="16" t="s">
        <v>35</v>
      </c>
      <c r="B159" s="17" t="s">
        <v>68</v>
      </c>
      <c r="C159" s="18" t="s">
        <v>38</v>
      </c>
      <c r="D159" s="17" t="s">
        <v>63</v>
      </c>
      <c r="E159" s="17" t="s">
        <v>64</v>
      </c>
      <c r="F159" s="17" t="s">
        <v>63</v>
      </c>
      <c r="G159" s="19" t="s">
        <v>64</v>
      </c>
    </row>
    <row r="160" spans="1:7" outlineLevel="1">
      <c r="A160" s="35">
        <v>40329</v>
      </c>
      <c r="B160" s="8" t="s">
        <v>98</v>
      </c>
      <c r="C160" s="21"/>
      <c r="D160" s="8"/>
      <c r="E160" s="8"/>
      <c r="F160" s="8"/>
      <c r="G160" s="36">
        <v>1600</v>
      </c>
    </row>
    <row r="161" spans="1:17" outlineLevel="1">
      <c r="A161" s="35"/>
      <c r="B161" s="8"/>
      <c r="C161" s="21"/>
      <c r="D161" s="8"/>
      <c r="E161" s="196"/>
      <c r="F161" s="8"/>
      <c r="G161" s="38"/>
    </row>
    <row r="162" spans="1:17" outlineLevel="1">
      <c r="A162" s="8"/>
      <c r="B162" s="8"/>
      <c r="C162" s="21"/>
      <c r="D162" s="8"/>
      <c r="E162" s="8"/>
      <c r="F162" s="8"/>
      <c r="G162" s="8"/>
    </row>
    <row r="163" spans="1:17" outlineLevel="1">
      <c r="A163" s="8"/>
      <c r="B163" s="8"/>
      <c r="C163" s="21"/>
      <c r="D163" s="8"/>
      <c r="E163" s="8"/>
      <c r="F163" s="8"/>
      <c r="G163" s="8"/>
    </row>
    <row r="164" spans="1:17" outlineLevel="1">
      <c r="A164" s="8"/>
      <c r="B164" s="8"/>
      <c r="C164" s="21"/>
      <c r="D164" s="8"/>
      <c r="E164" s="8"/>
      <c r="F164" s="8"/>
      <c r="G164" s="8"/>
    </row>
    <row r="165" spans="1:17" outlineLevel="1">
      <c r="A165" s="8"/>
      <c r="B165" s="8"/>
      <c r="C165" s="21"/>
      <c r="D165" s="8"/>
      <c r="E165" s="8"/>
      <c r="F165" s="8"/>
      <c r="G165" s="8"/>
    </row>
    <row r="166" spans="1:17" outlineLevel="1">
      <c r="A166" s="8"/>
      <c r="B166" s="8"/>
      <c r="C166" s="21"/>
      <c r="D166" s="8"/>
      <c r="E166" s="8"/>
      <c r="F166" s="8"/>
      <c r="G166" s="8"/>
    </row>
    <row r="167" spans="1:17" outlineLevel="1">
      <c r="A167" s="8"/>
      <c r="B167" s="8"/>
      <c r="C167" s="21"/>
      <c r="D167" s="8"/>
      <c r="E167" s="8"/>
      <c r="F167" s="8"/>
      <c r="G167" s="8"/>
    </row>
    <row r="168" spans="1:17" outlineLevel="1"/>
    <row r="170" spans="1:17">
      <c r="A170" s="249" t="s">
        <v>73</v>
      </c>
      <c r="B170" s="249" t="str">
        <f>'Chart of Accounts GL'!B26</f>
        <v>Accounts Payable</v>
      </c>
      <c r="C170" s="250"/>
      <c r="D170" s="249"/>
      <c r="E170" s="249"/>
      <c r="F170" s="249" t="s">
        <v>71</v>
      </c>
      <c r="G170" s="249">
        <f>'Chart of Accounts GL'!A26</f>
        <v>201</v>
      </c>
    </row>
    <row r="171" spans="1:17" ht="15.75" outlineLevel="1" thickBot="1">
      <c r="A171" s="11"/>
      <c r="B171" s="12"/>
      <c r="C171" s="13"/>
      <c r="D171" s="14" t="s">
        <v>69</v>
      </c>
      <c r="E171" s="14"/>
      <c r="F171" s="14" t="s">
        <v>70</v>
      </c>
      <c r="G171" s="15"/>
    </row>
    <row r="172" spans="1:17" ht="30" outlineLevel="1">
      <c r="A172" s="16" t="s">
        <v>35</v>
      </c>
      <c r="B172" s="17" t="s">
        <v>68</v>
      </c>
      <c r="C172" s="18" t="s">
        <v>38</v>
      </c>
      <c r="D172" s="17" t="s">
        <v>63</v>
      </c>
      <c r="E172" s="17" t="s">
        <v>64</v>
      </c>
      <c r="F172" s="17" t="s">
        <v>63</v>
      </c>
      <c r="G172" s="19" t="s">
        <v>64</v>
      </c>
      <c r="H172" s="131"/>
      <c r="I172" s="86"/>
      <c r="J172" s="86"/>
    </row>
    <row r="173" spans="1:17" outlineLevel="1">
      <c r="A173" s="35">
        <v>40329</v>
      </c>
      <c r="B173" s="8" t="s">
        <v>98</v>
      </c>
      <c r="C173" s="21"/>
      <c r="D173" s="8"/>
      <c r="E173" s="8"/>
      <c r="F173" s="8"/>
      <c r="G173" s="138">
        <f>157800+790800</f>
        <v>948600</v>
      </c>
    </row>
    <row r="174" spans="1:17" s="135" customFormat="1" outlineLevel="1">
      <c r="A174" s="165"/>
      <c r="B174" s="166"/>
      <c r="C174" s="145"/>
      <c r="D174" s="191"/>
      <c r="E174" s="166"/>
      <c r="F174" s="166"/>
      <c r="G174" s="140"/>
    </row>
    <row r="175" spans="1:17" outlineLevel="1">
      <c r="A175" s="35"/>
      <c r="B175" s="8"/>
      <c r="C175" s="139"/>
      <c r="D175" s="181"/>
      <c r="E175" s="118"/>
      <c r="F175" s="118"/>
      <c r="G175" s="140"/>
      <c r="H175" s="86"/>
      <c r="I175" s="86"/>
      <c r="J175" s="86"/>
      <c r="K175" s="86"/>
      <c r="L175" s="86"/>
      <c r="M175" s="86"/>
      <c r="N175" s="86"/>
      <c r="O175" s="86"/>
      <c r="P175" s="86"/>
      <c r="Q175" s="86"/>
    </row>
    <row r="176" spans="1:17" outlineLevel="1">
      <c r="A176" s="35"/>
      <c r="B176" s="8"/>
      <c r="C176" s="139"/>
      <c r="D176" s="181"/>
      <c r="E176" s="118"/>
      <c r="F176" s="118"/>
      <c r="G176" s="140"/>
      <c r="H176" s="86"/>
      <c r="I176" s="86"/>
      <c r="J176" s="86"/>
      <c r="K176" s="86"/>
      <c r="L176" s="86"/>
      <c r="M176" s="86"/>
      <c r="N176" s="86"/>
      <c r="O176" s="86"/>
      <c r="P176" s="86"/>
      <c r="Q176" s="86"/>
    </row>
    <row r="177" spans="1:7" outlineLevel="1">
      <c r="A177" s="35"/>
      <c r="B177" s="8"/>
      <c r="C177" s="139"/>
      <c r="D177" s="140"/>
      <c r="E177" s="140"/>
      <c r="F177" s="140"/>
      <c r="G177" s="140"/>
    </row>
    <row r="178" spans="1:7" outlineLevel="1">
      <c r="A178" s="35"/>
      <c r="B178" s="8"/>
      <c r="C178" s="139"/>
      <c r="D178" s="118"/>
      <c r="E178" s="118"/>
      <c r="F178" s="118"/>
      <c r="G178" s="140"/>
    </row>
    <row r="179" spans="1:7" outlineLevel="1">
      <c r="A179" s="8"/>
      <c r="B179" s="8"/>
      <c r="C179" s="21"/>
      <c r="D179" s="8"/>
      <c r="E179" s="8"/>
      <c r="F179" s="8"/>
      <c r="G179" s="8"/>
    </row>
    <row r="180" spans="1:7" outlineLevel="1"/>
    <row r="182" spans="1:7">
      <c r="A182" s="249" t="s">
        <v>73</v>
      </c>
      <c r="B182" s="249" t="str">
        <f>'Chart of Accounts GL'!B27</f>
        <v>Wages Payable</v>
      </c>
      <c r="C182" s="250"/>
      <c r="D182" s="249"/>
      <c r="E182" s="249"/>
      <c r="F182" s="249" t="s">
        <v>71</v>
      </c>
      <c r="G182" s="249">
        <f>'Chart of Accounts GL'!A27</f>
        <v>202</v>
      </c>
    </row>
    <row r="183" spans="1:7" ht="15.75" outlineLevel="1" thickBot="1">
      <c r="A183" s="11"/>
      <c r="B183" s="12"/>
      <c r="C183" s="13"/>
      <c r="D183" s="14" t="s">
        <v>69</v>
      </c>
      <c r="E183" s="14"/>
      <c r="F183" s="14" t="s">
        <v>70</v>
      </c>
      <c r="G183" s="15"/>
    </row>
    <row r="184" spans="1:7" ht="30" outlineLevel="1">
      <c r="A184" s="16" t="s">
        <v>35</v>
      </c>
      <c r="B184" s="17" t="s">
        <v>68</v>
      </c>
      <c r="C184" s="18" t="s">
        <v>38</v>
      </c>
      <c r="D184" s="17" t="s">
        <v>63</v>
      </c>
      <c r="E184" s="17" t="s">
        <v>64</v>
      </c>
      <c r="F184" s="17" t="s">
        <v>63</v>
      </c>
      <c r="G184" s="19" t="s">
        <v>64</v>
      </c>
    </row>
    <row r="185" spans="1:7" outlineLevel="1">
      <c r="A185" s="8"/>
      <c r="B185" s="8"/>
      <c r="C185" s="21"/>
      <c r="D185" s="8"/>
      <c r="E185" s="8"/>
      <c r="F185" s="8"/>
      <c r="G185" s="8"/>
    </row>
    <row r="186" spans="1:7" outlineLevel="1">
      <c r="A186" s="8"/>
      <c r="B186" s="8"/>
      <c r="C186" s="21"/>
      <c r="D186" s="8"/>
      <c r="E186" s="8"/>
      <c r="F186" s="8"/>
      <c r="G186" s="8"/>
    </row>
    <row r="187" spans="1:7" outlineLevel="1">
      <c r="A187" s="8"/>
      <c r="B187" s="8"/>
      <c r="C187" s="21"/>
      <c r="D187" s="8"/>
      <c r="E187" s="8"/>
      <c r="F187" s="8"/>
      <c r="G187" s="8"/>
    </row>
    <row r="188" spans="1:7" outlineLevel="1">
      <c r="A188" s="8"/>
      <c r="B188" s="8"/>
      <c r="C188" s="21"/>
      <c r="D188" s="8"/>
      <c r="E188" s="8"/>
      <c r="F188" s="8"/>
      <c r="G188" s="8"/>
    </row>
    <row r="189" spans="1:7" outlineLevel="1">
      <c r="A189" s="8"/>
      <c r="B189" s="8"/>
      <c r="C189" s="21"/>
      <c r="D189" s="8"/>
      <c r="E189" s="8"/>
      <c r="F189" s="8"/>
      <c r="G189" s="8"/>
    </row>
    <row r="190" spans="1:7" outlineLevel="1">
      <c r="A190" s="8"/>
      <c r="B190" s="8"/>
      <c r="C190" s="21"/>
      <c r="D190" s="8"/>
      <c r="E190" s="8"/>
      <c r="F190" s="8"/>
      <c r="G190" s="8"/>
    </row>
    <row r="191" spans="1:7" outlineLevel="1">
      <c r="A191" s="8"/>
      <c r="B191" s="8"/>
      <c r="C191" s="21"/>
      <c r="D191" s="8"/>
      <c r="E191" s="8"/>
      <c r="F191" s="8"/>
      <c r="G191" s="8"/>
    </row>
    <row r="192" spans="1:7" outlineLevel="1">
      <c r="A192" s="8"/>
      <c r="B192" s="8"/>
      <c r="C192" s="21"/>
      <c r="D192" s="8"/>
      <c r="E192" s="8"/>
      <c r="F192" s="8"/>
      <c r="G192" s="8"/>
    </row>
    <row r="193" spans="1:7" outlineLevel="1"/>
    <row r="195" spans="1:7">
      <c r="A195" s="249" t="s">
        <v>73</v>
      </c>
      <c r="B195" s="249" t="str">
        <f>'Chart of Accounts GL'!B28</f>
        <v>Interest Payable</v>
      </c>
      <c r="C195" s="250"/>
      <c r="D195" s="249"/>
      <c r="E195" s="249"/>
      <c r="F195" s="249" t="s">
        <v>71</v>
      </c>
      <c r="G195" s="249">
        <f>'Chart of Accounts GL'!A28</f>
        <v>203</v>
      </c>
    </row>
    <row r="196" spans="1:7" ht="15.75" outlineLevel="1" thickBot="1">
      <c r="A196" s="11"/>
      <c r="B196" s="12"/>
      <c r="C196" s="13"/>
      <c r="D196" s="14" t="s">
        <v>69</v>
      </c>
      <c r="E196" s="14"/>
      <c r="F196" s="14" t="s">
        <v>70</v>
      </c>
      <c r="G196" s="15"/>
    </row>
    <row r="197" spans="1:7" ht="30" outlineLevel="1">
      <c r="A197" s="16" t="s">
        <v>35</v>
      </c>
      <c r="B197" s="17" t="s">
        <v>68</v>
      </c>
      <c r="C197" s="18" t="s">
        <v>38</v>
      </c>
      <c r="D197" s="17" t="s">
        <v>63</v>
      </c>
      <c r="E197" s="17" t="s">
        <v>64</v>
      </c>
      <c r="F197" s="17" t="s">
        <v>63</v>
      </c>
      <c r="G197" s="19" t="s">
        <v>64</v>
      </c>
    </row>
    <row r="198" spans="1:7" outlineLevel="1">
      <c r="A198" s="8"/>
      <c r="B198" s="8"/>
      <c r="C198" s="21"/>
      <c r="D198" s="8"/>
      <c r="E198" s="8"/>
      <c r="F198" s="8"/>
      <c r="G198" s="8"/>
    </row>
    <row r="199" spans="1:7" outlineLevel="1">
      <c r="A199" s="8"/>
      <c r="B199" s="8"/>
      <c r="C199" s="21"/>
      <c r="D199" s="8"/>
      <c r="E199" s="8"/>
      <c r="F199" s="8"/>
      <c r="G199" s="8"/>
    </row>
    <row r="200" spans="1:7" outlineLevel="1">
      <c r="A200" s="8"/>
      <c r="B200" s="8"/>
      <c r="C200" s="21"/>
      <c r="D200" s="8"/>
      <c r="E200" s="8"/>
      <c r="F200" s="8"/>
      <c r="G200" s="8"/>
    </row>
    <row r="201" spans="1:7" outlineLevel="1">
      <c r="A201" s="8"/>
      <c r="B201" s="8"/>
      <c r="C201" s="21"/>
      <c r="D201" s="8"/>
      <c r="E201" s="8"/>
      <c r="F201" s="8"/>
      <c r="G201" s="8"/>
    </row>
    <row r="202" spans="1:7" outlineLevel="1">
      <c r="A202" s="8"/>
      <c r="B202" s="8"/>
      <c r="C202" s="21"/>
      <c r="D202" s="8"/>
      <c r="E202" s="8"/>
      <c r="F202" s="8"/>
      <c r="G202" s="8"/>
    </row>
    <row r="203" spans="1:7" outlineLevel="1">
      <c r="A203" s="8"/>
      <c r="B203" s="8"/>
      <c r="C203" s="21"/>
      <c r="D203" s="8"/>
      <c r="E203" s="8"/>
      <c r="F203" s="8"/>
      <c r="G203" s="8"/>
    </row>
    <row r="204" spans="1:7" outlineLevel="1">
      <c r="A204" s="8"/>
      <c r="B204" s="8"/>
      <c r="C204" s="21"/>
      <c r="D204" s="8"/>
      <c r="E204" s="8"/>
      <c r="F204" s="8"/>
      <c r="G204" s="8"/>
    </row>
    <row r="205" spans="1:7" outlineLevel="1">
      <c r="A205" s="8"/>
      <c r="B205" s="8"/>
      <c r="C205" s="21"/>
      <c r="D205" s="8"/>
      <c r="E205" s="8"/>
      <c r="F205" s="8"/>
      <c r="G205" s="8"/>
    </row>
    <row r="206" spans="1:7" outlineLevel="1"/>
    <row r="208" spans="1:7">
      <c r="A208" s="249" t="s">
        <v>73</v>
      </c>
      <c r="B208" s="249" t="str">
        <f>'Chart of Accounts GL'!B29</f>
        <v>Dividends Payable</v>
      </c>
      <c r="C208" s="250"/>
      <c r="D208" s="249"/>
      <c r="E208" s="249"/>
      <c r="F208" s="249" t="s">
        <v>71</v>
      </c>
      <c r="G208" s="249">
        <f>'Chart of Accounts GL'!A29</f>
        <v>204</v>
      </c>
    </row>
    <row r="209" spans="1:7" ht="15.75" outlineLevel="1" thickBot="1">
      <c r="A209" s="11"/>
      <c r="B209" s="12"/>
      <c r="C209" s="13"/>
      <c r="D209" s="14" t="s">
        <v>69</v>
      </c>
      <c r="E209" s="14"/>
      <c r="F209" s="14" t="s">
        <v>70</v>
      </c>
      <c r="G209" s="15"/>
    </row>
    <row r="210" spans="1:7" ht="30" outlineLevel="1">
      <c r="A210" s="16" t="s">
        <v>35</v>
      </c>
      <c r="B210" s="17" t="s">
        <v>68</v>
      </c>
      <c r="C210" s="18" t="s">
        <v>38</v>
      </c>
      <c r="D210" s="17" t="s">
        <v>63</v>
      </c>
      <c r="E210" s="17" t="s">
        <v>64</v>
      </c>
      <c r="F210" s="17" t="s">
        <v>63</v>
      </c>
      <c r="G210" s="19" t="s">
        <v>64</v>
      </c>
    </row>
    <row r="211" spans="1:7" outlineLevel="1">
      <c r="A211" s="35"/>
      <c r="B211" s="8"/>
      <c r="C211" s="21"/>
      <c r="D211" s="8"/>
      <c r="E211" s="38"/>
      <c r="F211" s="8"/>
      <c r="G211" s="36"/>
    </row>
    <row r="212" spans="1:7" outlineLevel="1">
      <c r="A212" s="35"/>
      <c r="B212" s="8"/>
      <c r="C212" s="21"/>
      <c r="D212" s="83"/>
      <c r="E212" s="8"/>
      <c r="F212" s="8"/>
      <c r="G212" s="38"/>
    </row>
    <row r="213" spans="1:7" outlineLevel="1">
      <c r="A213" s="8"/>
      <c r="B213" s="8"/>
      <c r="C213" s="21"/>
      <c r="D213" s="8"/>
      <c r="E213" s="8"/>
      <c r="F213" s="8"/>
      <c r="G213" s="8"/>
    </row>
    <row r="214" spans="1:7" outlineLevel="1">
      <c r="A214" s="8"/>
      <c r="B214" s="8"/>
      <c r="C214" s="21"/>
      <c r="D214" s="8"/>
      <c r="E214" s="8"/>
      <c r="F214" s="8"/>
      <c r="G214" s="8"/>
    </row>
    <row r="215" spans="1:7" outlineLevel="1">
      <c r="A215" s="8"/>
      <c r="B215" s="8"/>
      <c r="C215" s="21"/>
      <c r="D215" s="8"/>
      <c r="E215" s="8"/>
      <c r="F215" s="8"/>
      <c r="G215" s="8"/>
    </row>
    <row r="216" spans="1:7" outlineLevel="1">
      <c r="A216" s="8"/>
      <c r="B216" s="8"/>
      <c r="C216" s="21"/>
      <c r="D216" s="8"/>
      <c r="E216" s="8"/>
      <c r="F216" s="8"/>
      <c r="G216" s="8"/>
    </row>
    <row r="217" spans="1:7" outlineLevel="1">
      <c r="A217" s="8"/>
      <c r="B217" s="8"/>
      <c r="C217" s="21"/>
      <c r="D217" s="8"/>
      <c r="E217" s="8"/>
      <c r="F217" s="8"/>
      <c r="G217" s="8"/>
    </row>
    <row r="218" spans="1:7" outlineLevel="1">
      <c r="A218" s="8"/>
      <c r="B218" s="8"/>
      <c r="C218" s="21"/>
      <c r="D218" s="8"/>
      <c r="E218" s="8"/>
      <c r="F218" s="8"/>
      <c r="G218" s="8"/>
    </row>
    <row r="219" spans="1:7" outlineLevel="1"/>
    <row r="221" spans="1:7">
      <c r="A221" s="249" t="s">
        <v>73</v>
      </c>
      <c r="B221" s="249" t="str">
        <f>'Chart of Accounts GL'!B30</f>
        <v>Unearned Rent</v>
      </c>
      <c r="C221" s="250"/>
      <c r="D221" s="249"/>
      <c r="E221" s="249"/>
      <c r="F221" s="249" t="s">
        <v>71</v>
      </c>
      <c r="G221" s="249">
        <f>'Chart of Accounts GL'!A30</f>
        <v>205</v>
      </c>
    </row>
    <row r="222" spans="1:7" ht="15.75" outlineLevel="1" thickBot="1">
      <c r="A222" s="11"/>
      <c r="B222" s="12"/>
      <c r="C222" s="13"/>
      <c r="D222" s="14" t="s">
        <v>69</v>
      </c>
      <c r="E222" s="14"/>
      <c r="F222" s="14" t="s">
        <v>70</v>
      </c>
      <c r="G222" s="15"/>
    </row>
    <row r="223" spans="1:7" ht="30" outlineLevel="1">
      <c r="A223" s="16" t="s">
        <v>35</v>
      </c>
      <c r="B223" s="17" t="s">
        <v>68</v>
      </c>
      <c r="C223" s="18" t="s">
        <v>38</v>
      </c>
      <c r="D223" s="17" t="s">
        <v>63</v>
      </c>
      <c r="E223" s="17" t="s">
        <v>64</v>
      </c>
      <c r="F223" s="17" t="s">
        <v>63</v>
      </c>
      <c r="G223" s="19" t="s">
        <v>64</v>
      </c>
    </row>
    <row r="224" spans="1:7" outlineLevel="1">
      <c r="A224" s="35"/>
      <c r="B224" s="8"/>
      <c r="C224" s="21"/>
      <c r="D224" s="178"/>
      <c r="E224" s="178"/>
      <c r="F224" s="178"/>
      <c r="G224" s="36"/>
    </row>
    <row r="225" spans="1:7" outlineLevel="1">
      <c r="A225" s="35"/>
      <c r="B225" s="8"/>
      <c r="C225" s="21"/>
      <c r="D225" s="178"/>
      <c r="E225" s="178"/>
      <c r="F225" s="178"/>
      <c r="G225" s="178"/>
    </row>
    <row r="226" spans="1:7" outlineLevel="1">
      <c r="A226" s="8"/>
      <c r="B226" s="8"/>
      <c r="C226" s="21"/>
      <c r="D226" s="178"/>
      <c r="E226" s="178"/>
      <c r="F226" s="178"/>
      <c r="G226" s="178"/>
    </row>
    <row r="227" spans="1:7" outlineLevel="1">
      <c r="A227" s="8"/>
      <c r="B227" s="8"/>
      <c r="C227" s="21"/>
      <c r="D227" s="8"/>
      <c r="E227" s="8"/>
      <c r="F227" s="8"/>
      <c r="G227" s="8"/>
    </row>
    <row r="228" spans="1:7" outlineLevel="1">
      <c r="A228" s="8"/>
      <c r="B228" s="8"/>
      <c r="C228" s="21"/>
      <c r="D228" s="8"/>
      <c r="E228" s="8"/>
      <c r="F228" s="8"/>
      <c r="G228" s="8"/>
    </row>
    <row r="229" spans="1:7" outlineLevel="1">
      <c r="A229" s="8"/>
      <c r="B229" s="8"/>
      <c r="C229" s="21"/>
      <c r="D229" s="8"/>
      <c r="E229" s="8"/>
      <c r="F229" s="8"/>
      <c r="G229" s="8"/>
    </row>
    <row r="230" spans="1:7" outlineLevel="1">
      <c r="A230" s="8"/>
      <c r="B230" s="8"/>
      <c r="C230" s="21"/>
      <c r="D230" s="8"/>
      <c r="E230" s="8"/>
      <c r="F230" s="8"/>
      <c r="G230" s="8"/>
    </row>
    <row r="231" spans="1:7" outlineLevel="1">
      <c r="A231" s="8"/>
      <c r="B231" s="8"/>
      <c r="C231" s="21"/>
      <c r="D231" s="8"/>
      <c r="E231" s="8"/>
      <c r="F231" s="8"/>
      <c r="G231" s="8"/>
    </row>
    <row r="233" spans="1:7">
      <c r="A233" s="249" t="s">
        <v>73</v>
      </c>
      <c r="B233" s="249" t="str">
        <f>'Chart of Accounts GL'!B32</f>
        <v>Notes Payable</v>
      </c>
      <c r="C233" s="250"/>
      <c r="D233" s="249"/>
      <c r="E233" s="249"/>
      <c r="F233" s="249" t="s">
        <v>71</v>
      </c>
      <c r="G233" s="249">
        <f>'Chart of Accounts GL'!A32</f>
        <v>250</v>
      </c>
    </row>
    <row r="234" spans="1:7" ht="15.75" outlineLevel="1" thickBot="1">
      <c r="A234" s="11"/>
      <c r="B234" s="12"/>
      <c r="C234" s="13"/>
      <c r="D234" s="14" t="s">
        <v>69</v>
      </c>
      <c r="E234" s="14"/>
      <c r="F234" s="14" t="s">
        <v>70</v>
      </c>
      <c r="G234" s="15"/>
    </row>
    <row r="235" spans="1:7" ht="30" outlineLevel="1">
      <c r="A235" s="16" t="s">
        <v>35</v>
      </c>
      <c r="B235" s="17" t="s">
        <v>68</v>
      </c>
      <c r="C235" s="18" t="s">
        <v>38</v>
      </c>
      <c r="D235" s="17" t="s">
        <v>63</v>
      </c>
      <c r="E235" s="17" t="s">
        <v>64</v>
      </c>
      <c r="F235" s="17" t="s">
        <v>63</v>
      </c>
      <c r="G235" s="19" t="s">
        <v>64</v>
      </c>
    </row>
    <row r="236" spans="1:7" outlineLevel="1">
      <c r="A236" s="35"/>
      <c r="B236" s="8"/>
      <c r="C236" s="21"/>
      <c r="D236" s="8"/>
      <c r="E236" s="38"/>
      <c r="F236" s="8"/>
      <c r="G236" s="36"/>
    </row>
    <row r="237" spans="1:7" outlineLevel="1">
      <c r="A237" s="35"/>
      <c r="B237" s="8"/>
      <c r="C237" s="21"/>
      <c r="D237" s="38"/>
      <c r="E237" s="8"/>
      <c r="F237" s="8"/>
      <c r="G237" s="38"/>
    </row>
    <row r="238" spans="1:7" outlineLevel="1">
      <c r="A238" s="8"/>
      <c r="B238" s="8"/>
      <c r="C238" s="21"/>
      <c r="D238" s="8"/>
      <c r="E238" s="8"/>
      <c r="F238" s="8"/>
      <c r="G238" s="8"/>
    </row>
    <row r="239" spans="1:7" outlineLevel="1">
      <c r="A239" s="8"/>
      <c r="B239" s="8"/>
      <c r="C239" s="21"/>
      <c r="D239" s="8"/>
      <c r="E239" s="8"/>
      <c r="F239" s="8"/>
      <c r="G239" s="8"/>
    </row>
    <row r="240" spans="1:7" outlineLevel="1">
      <c r="A240" s="8"/>
      <c r="B240" s="8"/>
      <c r="C240" s="21"/>
      <c r="D240" s="8"/>
      <c r="E240" s="8"/>
      <c r="F240" s="8"/>
      <c r="G240" s="8"/>
    </row>
    <row r="241" spans="1:7" outlineLevel="1">
      <c r="A241" s="8"/>
      <c r="B241" s="8"/>
      <c r="C241" s="21"/>
      <c r="D241" s="8"/>
      <c r="E241" s="8"/>
      <c r="F241" s="8"/>
      <c r="G241" s="8"/>
    </row>
    <row r="242" spans="1:7" outlineLevel="1">
      <c r="A242" s="8"/>
      <c r="B242" s="8"/>
      <c r="C242" s="21"/>
      <c r="D242" s="8"/>
      <c r="E242" s="8"/>
      <c r="F242" s="8"/>
      <c r="G242" s="8"/>
    </row>
    <row r="244" spans="1:7">
      <c r="A244" s="249" t="s">
        <v>73</v>
      </c>
      <c r="B244" s="249" t="str">
        <f>'Chart of Accounts GL'!B33</f>
        <v>Bonds Payable</v>
      </c>
      <c r="C244" s="250"/>
      <c r="D244" s="249"/>
      <c r="E244" s="249"/>
      <c r="F244" s="249" t="s">
        <v>71</v>
      </c>
      <c r="G244" s="249">
        <f>'Chart of Accounts GL'!A33</f>
        <v>251</v>
      </c>
    </row>
    <row r="245" spans="1:7" ht="15.75" outlineLevel="1" thickBot="1">
      <c r="A245" s="11"/>
      <c r="B245" s="12"/>
      <c r="C245" s="13"/>
      <c r="D245" s="14" t="s">
        <v>69</v>
      </c>
      <c r="E245" s="14"/>
      <c r="F245" s="14" t="s">
        <v>70</v>
      </c>
      <c r="G245" s="15"/>
    </row>
    <row r="246" spans="1:7" ht="30" outlineLevel="1">
      <c r="A246" s="16" t="s">
        <v>35</v>
      </c>
      <c r="B246" s="17" t="s">
        <v>68</v>
      </c>
      <c r="C246" s="18" t="s">
        <v>38</v>
      </c>
      <c r="D246" s="17" t="s">
        <v>63</v>
      </c>
      <c r="E246" s="17" t="s">
        <v>64</v>
      </c>
      <c r="F246" s="17" t="s">
        <v>63</v>
      </c>
      <c r="G246" s="19" t="s">
        <v>64</v>
      </c>
    </row>
    <row r="247" spans="1:7" outlineLevel="1">
      <c r="A247" s="35"/>
      <c r="B247" s="8"/>
      <c r="C247" s="21"/>
      <c r="D247" s="178"/>
      <c r="E247" s="178"/>
      <c r="F247" s="178"/>
      <c r="G247" s="36"/>
    </row>
    <row r="248" spans="1:7" outlineLevel="1">
      <c r="A248" s="35"/>
      <c r="B248" s="8"/>
      <c r="C248" s="21"/>
      <c r="D248" s="178"/>
      <c r="E248" s="178"/>
      <c r="F248" s="178"/>
      <c r="G248" s="178"/>
    </row>
    <row r="249" spans="1:7" outlineLevel="1">
      <c r="A249" s="8"/>
      <c r="B249" s="8"/>
      <c r="C249" s="21"/>
      <c r="D249" s="178"/>
      <c r="E249" s="178"/>
      <c r="F249" s="178"/>
      <c r="G249" s="178"/>
    </row>
    <row r="250" spans="1:7" outlineLevel="1">
      <c r="A250" s="8"/>
      <c r="B250" s="8"/>
      <c r="C250" s="21"/>
      <c r="D250" s="8"/>
      <c r="E250" s="8"/>
      <c r="F250" s="8"/>
      <c r="G250" s="8"/>
    </row>
    <row r="251" spans="1:7" outlineLevel="1">
      <c r="A251" s="8"/>
      <c r="B251" s="8"/>
      <c r="C251" s="21"/>
      <c r="D251" s="8"/>
      <c r="E251" s="8"/>
      <c r="F251" s="8"/>
      <c r="G251" s="8"/>
    </row>
    <row r="252" spans="1:7" outlineLevel="1">
      <c r="A252" s="8"/>
      <c r="B252" s="8"/>
      <c r="C252" s="21"/>
      <c r="D252" s="8"/>
      <c r="E252" s="8"/>
      <c r="F252" s="8"/>
      <c r="G252" s="8"/>
    </row>
    <row r="253" spans="1:7" outlineLevel="1">
      <c r="A253" s="8"/>
      <c r="B253" s="8"/>
      <c r="C253" s="21"/>
      <c r="D253" s="8"/>
      <c r="E253" s="8"/>
      <c r="F253" s="8"/>
      <c r="G253" s="8"/>
    </row>
    <row r="254" spans="1:7" outlineLevel="1">
      <c r="A254" s="8"/>
      <c r="B254" s="8"/>
      <c r="C254" s="21"/>
      <c r="D254" s="8"/>
      <c r="E254" s="8"/>
      <c r="F254" s="8"/>
      <c r="G254" s="8"/>
    </row>
    <row r="256" spans="1:7">
      <c r="A256" s="249" t="s">
        <v>73</v>
      </c>
      <c r="B256" s="249" t="str">
        <f>'Chart of Accounts GL'!B34</f>
        <v>Mortgage (Warehouse) Payable</v>
      </c>
      <c r="C256" s="250"/>
      <c r="D256" s="249"/>
      <c r="E256" s="249"/>
      <c r="F256" s="249" t="s">
        <v>71</v>
      </c>
      <c r="G256" s="249">
        <f>'Chart of Accounts GL'!A34</f>
        <v>252</v>
      </c>
    </row>
    <row r="257" spans="1:7" ht="15.75" outlineLevel="1" thickBot="1">
      <c r="A257" s="11"/>
      <c r="B257" s="12"/>
      <c r="C257" s="13"/>
      <c r="D257" s="14" t="s">
        <v>69</v>
      </c>
      <c r="E257" s="14"/>
      <c r="F257" s="14" t="s">
        <v>70</v>
      </c>
      <c r="G257" s="15"/>
    </row>
    <row r="258" spans="1:7" ht="30" outlineLevel="1">
      <c r="A258" s="16" t="s">
        <v>35</v>
      </c>
      <c r="B258" s="17" t="s">
        <v>68</v>
      </c>
      <c r="C258" s="18" t="s">
        <v>38</v>
      </c>
      <c r="D258" s="17" t="s">
        <v>63</v>
      </c>
      <c r="E258" s="17" t="s">
        <v>64</v>
      </c>
      <c r="F258" s="17" t="s">
        <v>63</v>
      </c>
      <c r="G258" s="19" t="s">
        <v>64</v>
      </c>
    </row>
    <row r="259" spans="1:7" outlineLevel="1">
      <c r="A259" s="35">
        <v>41791</v>
      </c>
      <c r="B259" s="8"/>
      <c r="C259" s="21"/>
      <c r="D259" s="8"/>
      <c r="E259" s="8"/>
      <c r="F259" s="8"/>
      <c r="G259" s="36">
        <v>200000</v>
      </c>
    </row>
    <row r="260" spans="1:7" outlineLevel="1">
      <c r="A260" s="35"/>
      <c r="B260" s="8"/>
      <c r="C260" s="21"/>
      <c r="D260" s="38"/>
      <c r="E260" s="8"/>
      <c r="F260" s="8"/>
      <c r="G260" s="38"/>
    </row>
    <row r="261" spans="1:7" outlineLevel="1">
      <c r="A261" s="8"/>
      <c r="B261" s="8"/>
      <c r="C261" s="21"/>
      <c r="D261" s="8"/>
      <c r="E261" s="8"/>
      <c r="F261" s="8"/>
      <c r="G261" s="8"/>
    </row>
    <row r="262" spans="1:7" outlineLevel="1">
      <c r="A262" s="8"/>
      <c r="B262" s="8"/>
      <c r="C262" s="21"/>
      <c r="D262" s="8"/>
      <c r="E262" s="8"/>
      <c r="F262" s="8"/>
      <c r="G262" s="8"/>
    </row>
    <row r="263" spans="1:7" outlineLevel="1">
      <c r="A263" s="8"/>
      <c r="B263" s="8"/>
      <c r="C263" s="21"/>
      <c r="D263" s="8"/>
      <c r="E263" s="8"/>
      <c r="F263" s="8"/>
      <c r="G263" s="8"/>
    </row>
    <row r="264" spans="1:7" outlineLevel="1">
      <c r="A264" s="8"/>
      <c r="B264" s="8"/>
      <c r="C264" s="21"/>
      <c r="D264" s="8"/>
      <c r="E264" s="8"/>
      <c r="F264" s="8"/>
      <c r="G264" s="8"/>
    </row>
    <row r="265" spans="1:7" outlineLevel="1">
      <c r="A265" s="8"/>
      <c r="B265" s="8"/>
      <c r="C265" s="21"/>
      <c r="D265" s="8"/>
      <c r="E265" s="8"/>
      <c r="F265" s="8"/>
      <c r="G265" s="8"/>
    </row>
    <row r="266" spans="1:7" outlineLevel="1">
      <c r="A266" s="8"/>
      <c r="B266" s="8"/>
      <c r="C266" s="21"/>
      <c r="D266" s="8"/>
      <c r="E266" s="8"/>
      <c r="F266" s="8"/>
      <c r="G266" s="8"/>
    </row>
    <row r="268" spans="1:7">
      <c r="A268" s="249" t="s">
        <v>73</v>
      </c>
      <c r="B268" s="251" t="str">
        <f>'Chart of Accounts GL'!B36</f>
        <v>Common Stock, $1 Par, 100,000 Authorized; 60,000 shares Issued/Outstanding</v>
      </c>
      <c r="C268" s="250"/>
      <c r="D268" s="249"/>
      <c r="E268" s="249"/>
      <c r="F268" s="249" t="s">
        <v>71</v>
      </c>
      <c r="G268" s="249">
        <f>'Chart of Accounts GL'!A36</f>
        <v>300</v>
      </c>
    </row>
    <row r="269" spans="1:7" ht="15.75" outlineLevel="1" thickBot="1">
      <c r="A269" s="11"/>
      <c r="B269" s="12"/>
      <c r="C269" s="13"/>
      <c r="D269" s="14" t="s">
        <v>69</v>
      </c>
      <c r="E269" s="14"/>
      <c r="F269" s="14" t="s">
        <v>70</v>
      </c>
      <c r="G269" s="15"/>
    </row>
    <row r="270" spans="1:7" ht="30" outlineLevel="1">
      <c r="A270" s="16" t="s">
        <v>35</v>
      </c>
      <c r="B270" s="17" t="s">
        <v>68</v>
      </c>
      <c r="C270" s="18" t="s">
        <v>38</v>
      </c>
      <c r="D270" s="17" t="s">
        <v>63</v>
      </c>
      <c r="E270" s="17" t="s">
        <v>64</v>
      </c>
      <c r="F270" s="17" t="s">
        <v>63</v>
      </c>
      <c r="G270" s="19" t="s">
        <v>64</v>
      </c>
    </row>
    <row r="271" spans="1:7" outlineLevel="1">
      <c r="A271" s="35">
        <v>40329</v>
      </c>
      <c r="B271" s="8" t="s">
        <v>98</v>
      </c>
      <c r="C271" s="21"/>
      <c r="D271" s="178"/>
      <c r="E271" s="178"/>
      <c r="F271" s="178"/>
      <c r="G271" s="36">
        <f>60000*1</f>
        <v>60000</v>
      </c>
    </row>
    <row r="272" spans="1:7" outlineLevel="1">
      <c r="A272" s="35"/>
      <c r="B272" s="8"/>
      <c r="C272" s="21"/>
      <c r="D272" s="178"/>
      <c r="E272" s="178"/>
      <c r="F272" s="178"/>
      <c r="G272" s="178"/>
    </row>
    <row r="273" spans="1:16" outlineLevel="1">
      <c r="A273" s="8"/>
      <c r="B273" s="8"/>
      <c r="C273" s="21"/>
      <c r="D273" s="178"/>
      <c r="E273" s="178"/>
      <c r="F273" s="178"/>
      <c r="G273" s="178"/>
    </row>
    <row r="274" spans="1:16" outlineLevel="1">
      <c r="A274" s="8"/>
      <c r="B274" s="8"/>
      <c r="C274" s="21"/>
      <c r="D274" s="178"/>
      <c r="E274" s="178"/>
      <c r="F274" s="178"/>
      <c r="G274" s="178"/>
    </row>
    <row r="275" spans="1:16" outlineLevel="1">
      <c r="A275" s="8"/>
      <c r="B275" s="8"/>
      <c r="C275" s="21"/>
      <c r="D275" s="178"/>
      <c r="E275" s="178"/>
      <c r="F275" s="178"/>
      <c r="G275" s="178"/>
    </row>
    <row r="276" spans="1:16" outlineLevel="1">
      <c r="A276" s="8"/>
      <c r="B276" s="8"/>
      <c r="C276" s="21"/>
      <c r="D276" s="178"/>
      <c r="E276" s="178"/>
      <c r="F276" s="178"/>
      <c r="G276" s="178"/>
    </row>
    <row r="277" spans="1:16" outlineLevel="1">
      <c r="A277" s="8"/>
      <c r="B277" s="8"/>
      <c r="C277" s="21"/>
      <c r="D277" s="178"/>
      <c r="E277" s="178"/>
      <c r="F277" s="178"/>
      <c r="G277" s="178"/>
    </row>
    <row r="278" spans="1:16" outlineLevel="1">
      <c r="A278" s="8"/>
      <c r="B278" s="8"/>
      <c r="C278" s="21"/>
      <c r="D278" s="178"/>
      <c r="E278" s="178"/>
      <c r="F278" s="178"/>
      <c r="G278" s="178"/>
    </row>
    <row r="279" spans="1:16" outlineLevel="1"/>
    <row r="281" spans="1:16">
      <c r="A281" s="249" t="s">
        <v>73</v>
      </c>
      <c r="B281" s="249" t="str">
        <f>'Chart of Accounts GL'!B37</f>
        <v>Paid In Capital - Excess of Par</v>
      </c>
      <c r="C281" s="250"/>
      <c r="D281" s="249"/>
      <c r="E281" s="249"/>
      <c r="F281" s="249" t="s">
        <v>71</v>
      </c>
      <c r="G281" s="249">
        <f>'Chart of Accounts GL'!A37</f>
        <v>301</v>
      </c>
    </row>
    <row r="282" spans="1:16" ht="15.75" outlineLevel="1" thickBot="1">
      <c r="A282" s="11"/>
      <c r="B282" s="12"/>
      <c r="C282" s="13"/>
      <c r="D282" s="14" t="s">
        <v>69</v>
      </c>
      <c r="E282" s="14"/>
      <c r="F282" s="14" t="s">
        <v>70</v>
      </c>
      <c r="G282" s="15"/>
    </row>
    <row r="283" spans="1:16" ht="30" outlineLevel="1">
      <c r="A283" s="16" t="s">
        <v>35</v>
      </c>
      <c r="B283" s="17" t="s">
        <v>68</v>
      </c>
      <c r="C283" s="18" t="s">
        <v>38</v>
      </c>
      <c r="D283" s="17" t="s">
        <v>63</v>
      </c>
      <c r="E283" s="17" t="s">
        <v>64</v>
      </c>
      <c r="F283" s="17" t="s">
        <v>63</v>
      </c>
      <c r="G283" s="19" t="s">
        <v>64</v>
      </c>
    </row>
    <row r="284" spans="1:16" outlineLevel="1">
      <c r="A284" s="35">
        <v>40329</v>
      </c>
      <c r="B284" s="8"/>
      <c r="C284" s="21"/>
      <c r="D284" s="178"/>
      <c r="E284" s="178"/>
      <c r="F284" s="178"/>
      <c r="G284" s="138">
        <f>(60000*25)-159000</f>
        <v>1341000</v>
      </c>
      <c r="H284" s="86"/>
      <c r="I284" s="120"/>
      <c r="J284" s="86"/>
      <c r="K284" s="86"/>
      <c r="L284" s="86"/>
      <c r="M284" s="86"/>
      <c r="N284" s="86"/>
      <c r="O284" s="86"/>
      <c r="P284" s="86"/>
    </row>
    <row r="285" spans="1:16" outlineLevel="1">
      <c r="A285" s="35"/>
      <c r="B285" s="8"/>
      <c r="C285" s="21"/>
      <c r="D285" s="178"/>
      <c r="E285" s="178"/>
      <c r="F285" s="178"/>
      <c r="G285" s="178"/>
      <c r="J285" s="86"/>
    </row>
    <row r="286" spans="1:16" outlineLevel="1">
      <c r="A286" s="8"/>
      <c r="B286" s="8"/>
      <c r="C286" s="21"/>
      <c r="D286" s="178"/>
      <c r="E286" s="178"/>
      <c r="F286" s="178"/>
      <c r="G286" s="178"/>
    </row>
    <row r="287" spans="1:16" outlineLevel="1">
      <c r="A287" s="8"/>
      <c r="B287" s="8"/>
      <c r="C287" s="21"/>
      <c r="D287" s="178"/>
      <c r="E287" s="178"/>
      <c r="F287" s="178"/>
      <c r="G287" s="178"/>
    </row>
    <row r="288" spans="1:16" outlineLevel="1">
      <c r="A288" s="8"/>
      <c r="B288" s="8"/>
      <c r="C288" s="21"/>
      <c r="D288" s="178"/>
      <c r="E288" s="178"/>
      <c r="F288" s="178"/>
      <c r="G288" s="178"/>
    </row>
    <row r="289" spans="1:7" outlineLevel="1">
      <c r="A289" s="8"/>
      <c r="B289" s="8"/>
      <c r="C289" s="21"/>
      <c r="D289" s="178"/>
      <c r="E289" s="178"/>
      <c r="F289" s="178"/>
      <c r="G289" s="178"/>
    </row>
    <row r="290" spans="1:7" outlineLevel="1">
      <c r="A290" s="8"/>
      <c r="B290" s="8"/>
      <c r="C290" s="21"/>
      <c r="D290" s="178"/>
      <c r="E290" s="178"/>
      <c r="F290" s="178"/>
      <c r="G290" s="178"/>
    </row>
    <row r="291" spans="1:7" outlineLevel="1">
      <c r="A291" s="8"/>
      <c r="B291" s="8"/>
      <c r="C291" s="21"/>
      <c r="D291" s="178"/>
      <c r="E291" s="178"/>
      <c r="F291" s="178"/>
      <c r="G291" s="178"/>
    </row>
    <row r="293" spans="1:7">
      <c r="A293" s="249" t="s">
        <v>73</v>
      </c>
      <c r="B293" s="249" t="str">
        <f>'Chart of Accounts GL'!B38</f>
        <v>Retained Earnings</v>
      </c>
      <c r="C293" s="250"/>
      <c r="D293" s="249"/>
      <c r="E293" s="249"/>
      <c r="F293" s="249" t="s">
        <v>71</v>
      </c>
      <c r="G293" s="249">
        <f>'Chart of Accounts GL'!A38</f>
        <v>330</v>
      </c>
    </row>
    <row r="294" spans="1:7" ht="15.75" outlineLevel="1" thickBot="1">
      <c r="A294" s="11"/>
      <c r="B294" s="12"/>
      <c r="C294" s="13"/>
      <c r="D294" s="14" t="s">
        <v>69</v>
      </c>
      <c r="E294" s="14"/>
      <c r="F294" s="14" t="s">
        <v>70</v>
      </c>
      <c r="G294" s="15"/>
    </row>
    <row r="295" spans="1:7" ht="30" outlineLevel="1">
      <c r="A295" s="16" t="s">
        <v>35</v>
      </c>
      <c r="B295" s="17" t="s">
        <v>68</v>
      </c>
      <c r="C295" s="18" t="s">
        <v>38</v>
      </c>
      <c r="D295" s="17" t="s">
        <v>63</v>
      </c>
      <c r="E295" s="17" t="s">
        <v>64</v>
      </c>
      <c r="F295" s="17" t="s">
        <v>63</v>
      </c>
      <c r="G295" s="19" t="s">
        <v>64</v>
      </c>
    </row>
    <row r="296" spans="1:7" outlineLevel="1">
      <c r="A296" s="35">
        <v>40329</v>
      </c>
      <c r="B296" s="8" t="s">
        <v>154</v>
      </c>
      <c r="C296" s="21"/>
      <c r="D296" s="178"/>
      <c r="E296" s="36"/>
      <c r="F296" s="178"/>
      <c r="G296" s="178">
        <f>389000+377000-400000</f>
        <v>366000</v>
      </c>
    </row>
    <row r="297" spans="1:7" outlineLevel="1">
      <c r="A297" s="35"/>
      <c r="B297" s="8"/>
      <c r="C297" s="21"/>
      <c r="D297" s="178"/>
      <c r="F297" s="178"/>
      <c r="G297" s="178"/>
    </row>
    <row r="298" spans="1:7" outlineLevel="1">
      <c r="A298" s="35"/>
      <c r="B298" s="8"/>
      <c r="C298" s="21"/>
      <c r="D298" s="178"/>
      <c r="E298" s="178"/>
      <c r="F298" s="178"/>
      <c r="G298" s="178"/>
    </row>
    <row r="299" spans="1:7" outlineLevel="1">
      <c r="A299" s="8"/>
      <c r="B299" s="8"/>
      <c r="C299" s="21"/>
      <c r="D299" s="178"/>
      <c r="E299" s="178"/>
      <c r="F299" s="178"/>
      <c r="G299" s="178"/>
    </row>
    <row r="300" spans="1:7" outlineLevel="1">
      <c r="A300" s="8"/>
      <c r="B300" s="8"/>
      <c r="C300" s="21"/>
      <c r="D300" s="178"/>
      <c r="E300" s="178"/>
      <c r="F300" s="178"/>
      <c r="G300" s="178"/>
    </row>
    <row r="301" spans="1:7" outlineLevel="1">
      <c r="A301" s="8"/>
      <c r="B301" s="8"/>
      <c r="C301" s="21"/>
      <c r="D301" s="178"/>
      <c r="E301" s="178"/>
      <c r="F301" s="178"/>
      <c r="G301" s="178"/>
    </row>
    <row r="302" spans="1:7" outlineLevel="1">
      <c r="A302" s="8"/>
      <c r="B302" s="8"/>
      <c r="C302" s="21"/>
      <c r="D302" s="178"/>
      <c r="E302" s="178"/>
      <c r="F302" s="178"/>
      <c r="G302" s="178"/>
    </row>
    <row r="303" spans="1:7" outlineLevel="1">
      <c r="A303" s="8"/>
      <c r="B303" s="8"/>
      <c r="C303" s="21"/>
      <c r="D303" s="178"/>
      <c r="E303" s="178"/>
      <c r="F303" s="178"/>
      <c r="G303" s="178"/>
    </row>
    <row r="305" spans="1:7">
      <c r="A305" s="249" t="s">
        <v>73</v>
      </c>
      <c r="B305" s="249" t="str">
        <f>'Chart of Accounts GL'!B39</f>
        <v>Treasury Stock</v>
      </c>
      <c r="C305" s="250"/>
      <c r="D305" s="249"/>
      <c r="E305" s="249"/>
      <c r="F305" s="249" t="s">
        <v>71</v>
      </c>
      <c r="G305" s="249">
        <f>'Chart of Accounts GL'!A39</f>
        <v>340</v>
      </c>
    </row>
    <row r="306" spans="1:7" ht="15.75" outlineLevel="1" thickBot="1">
      <c r="A306" s="11"/>
      <c r="B306" s="12"/>
      <c r="C306" s="13"/>
      <c r="D306" s="14" t="s">
        <v>69</v>
      </c>
      <c r="E306" s="14"/>
      <c r="F306" s="14" t="s">
        <v>70</v>
      </c>
      <c r="G306" s="15"/>
    </row>
    <row r="307" spans="1:7" ht="30" outlineLevel="1">
      <c r="A307" s="16" t="s">
        <v>35</v>
      </c>
      <c r="B307" s="17" t="s">
        <v>68</v>
      </c>
      <c r="C307" s="18" t="s">
        <v>38</v>
      </c>
      <c r="D307" s="17" t="s">
        <v>63</v>
      </c>
      <c r="E307" s="17" t="s">
        <v>64</v>
      </c>
      <c r="F307" s="17" t="s">
        <v>63</v>
      </c>
      <c r="G307" s="19" t="s">
        <v>64</v>
      </c>
    </row>
    <row r="308" spans="1:7" outlineLevel="1">
      <c r="A308" s="35"/>
      <c r="B308" s="8"/>
      <c r="C308" s="21"/>
      <c r="D308" s="178"/>
      <c r="E308" s="178"/>
      <c r="F308" s="178"/>
      <c r="G308" s="178"/>
    </row>
    <row r="309" spans="1:7" outlineLevel="1">
      <c r="A309" s="8"/>
      <c r="B309" s="8"/>
      <c r="C309" s="21"/>
      <c r="D309" s="178"/>
      <c r="E309" s="178"/>
      <c r="F309" s="178"/>
      <c r="G309" s="178"/>
    </row>
    <row r="310" spans="1:7" outlineLevel="1">
      <c r="A310" s="8"/>
      <c r="B310" s="8"/>
      <c r="C310" s="21"/>
      <c r="D310" s="178"/>
      <c r="E310" s="178"/>
      <c r="F310" s="178"/>
      <c r="G310" s="178"/>
    </row>
    <row r="311" spans="1:7" outlineLevel="1">
      <c r="A311" s="8"/>
      <c r="B311" s="8"/>
      <c r="C311" s="21"/>
      <c r="D311" s="178"/>
      <c r="E311" s="178"/>
      <c r="F311" s="178"/>
      <c r="G311" s="178"/>
    </row>
    <row r="312" spans="1:7" outlineLevel="1">
      <c r="A312" s="8"/>
      <c r="B312" s="8"/>
      <c r="C312" s="21"/>
      <c r="D312" s="178"/>
      <c r="E312" s="178"/>
      <c r="F312" s="178"/>
      <c r="G312" s="178"/>
    </row>
    <row r="313" spans="1:7" outlineLevel="1">
      <c r="A313" s="8"/>
      <c r="B313" s="8"/>
      <c r="C313" s="21"/>
      <c r="D313" s="178"/>
      <c r="E313" s="178"/>
      <c r="F313" s="178"/>
      <c r="G313" s="178"/>
    </row>
    <row r="314" spans="1:7" outlineLevel="1">
      <c r="A314" s="8"/>
      <c r="B314" s="8"/>
      <c r="C314" s="21"/>
      <c r="D314" s="178"/>
      <c r="E314" s="178"/>
      <c r="F314" s="178"/>
      <c r="G314" s="178"/>
    </row>
    <row r="315" spans="1:7" outlineLevel="1">
      <c r="A315" s="8"/>
      <c r="B315" s="8"/>
      <c r="C315" s="21"/>
      <c r="D315" s="178"/>
      <c r="E315" s="178"/>
      <c r="F315" s="178"/>
      <c r="G315" s="178"/>
    </row>
    <row r="317" spans="1:7">
      <c r="A317" s="249" t="s">
        <v>73</v>
      </c>
      <c r="B317" s="249" t="str">
        <f>'Chart of Accounts GL'!B42</f>
        <v>Sales</v>
      </c>
      <c r="C317" s="250"/>
      <c r="D317" s="249"/>
      <c r="E317" s="249"/>
      <c r="F317" s="249" t="s">
        <v>71</v>
      </c>
      <c r="G317" s="249">
        <f>'Chart of Accounts GL'!A42</f>
        <v>500</v>
      </c>
    </row>
    <row r="318" spans="1:7" ht="15.75" outlineLevel="1" thickBot="1">
      <c r="A318" s="11"/>
      <c r="B318" s="12"/>
      <c r="C318" s="13"/>
      <c r="D318" s="14" t="s">
        <v>69</v>
      </c>
      <c r="E318" s="14"/>
      <c r="F318" s="14" t="s">
        <v>70</v>
      </c>
      <c r="G318" s="15"/>
    </row>
    <row r="319" spans="1:7" ht="30" outlineLevel="1">
      <c r="A319" s="16" t="s">
        <v>35</v>
      </c>
      <c r="B319" s="17" t="s">
        <v>68</v>
      </c>
      <c r="C319" s="18" t="s">
        <v>38</v>
      </c>
      <c r="D319" s="17" t="s">
        <v>63</v>
      </c>
      <c r="E319" s="17" t="s">
        <v>64</v>
      </c>
      <c r="F319" s="17" t="s">
        <v>63</v>
      </c>
      <c r="G319" s="19" t="s">
        <v>64</v>
      </c>
    </row>
    <row r="320" spans="1:7" outlineLevel="1">
      <c r="A320" s="35"/>
      <c r="B320" s="8"/>
      <c r="C320" s="21"/>
      <c r="D320" s="178"/>
      <c r="E320" s="178"/>
      <c r="F320" s="178"/>
      <c r="G320" s="178"/>
    </row>
    <row r="321" spans="1:7" outlineLevel="1">
      <c r="A321" s="35"/>
      <c r="B321" s="8"/>
      <c r="C321" s="21"/>
      <c r="D321" s="178"/>
      <c r="E321" s="178"/>
      <c r="F321" s="178"/>
      <c r="G321" s="178"/>
    </row>
    <row r="322" spans="1:7" outlineLevel="1">
      <c r="A322" s="35"/>
      <c r="B322" s="8"/>
      <c r="C322" s="21"/>
      <c r="D322" s="178"/>
      <c r="E322" s="178"/>
      <c r="F322" s="178"/>
      <c r="G322" s="178"/>
    </row>
    <row r="323" spans="1:7" outlineLevel="1">
      <c r="A323" s="8"/>
      <c r="B323" s="8"/>
      <c r="C323" s="21"/>
      <c r="D323" s="178"/>
      <c r="E323" s="178"/>
      <c r="F323" s="178"/>
      <c r="G323" s="178"/>
    </row>
    <row r="324" spans="1:7" outlineLevel="1">
      <c r="A324" s="8"/>
      <c r="B324" s="8"/>
      <c r="C324" s="21"/>
      <c r="D324" s="178"/>
      <c r="E324" s="178"/>
      <c r="F324" s="178"/>
      <c r="G324" s="178"/>
    </row>
    <row r="325" spans="1:7" outlineLevel="1">
      <c r="A325" s="8"/>
      <c r="B325" s="8"/>
      <c r="C325" s="21"/>
      <c r="D325" s="178"/>
      <c r="E325" s="178"/>
      <c r="F325" s="178"/>
      <c r="G325" s="178"/>
    </row>
    <row r="326" spans="1:7" outlineLevel="1">
      <c r="A326" s="8"/>
      <c r="B326" s="8"/>
      <c r="C326" s="21"/>
      <c r="D326" s="178"/>
      <c r="E326" s="178"/>
      <c r="F326" s="178"/>
      <c r="G326" s="178"/>
    </row>
    <row r="327" spans="1:7" outlineLevel="1">
      <c r="A327" s="8"/>
      <c r="B327" s="8"/>
      <c r="C327" s="21"/>
      <c r="D327" s="178"/>
      <c r="E327" s="178"/>
      <c r="F327" s="178"/>
      <c r="G327" s="178"/>
    </row>
    <row r="328" spans="1:7" outlineLevel="1"/>
    <row r="330" spans="1:7">
      <c r="A330" s="249" t="s">
        <v>73</v>
      </c>
      <c r="B330" s="249" t="str">
        <f>'Chart of Accounts GL'!B43</f>
        <v>Sales Discounts</v>
      </c>
      <c r="C330" s="250"/>
      <c r="D330" s="249"/>
      <c r="E330" s="249"/>
      <c r="F330" s="249" t="s">
        <v>71</v>
      </c>
      <c r="G330" s="249">
        <f>'Chart of Accounts GL'!A43</f>
        <v>510</v>
      </c>
    </row>
    <row r="331" spans="1:7" ht="15.75" outlineLevel="1" thickBot="1">
      <c r="A331" s="11"/>
      <c r="B331" s="12"/>
      <c r="C331" s="13"/>
      <c r="D331" s="14" t="s">
        <v>69</v>
      </c>
      <c r="E331" s="14"/>
      <c r="F331" s="14" t="s">
        <v>70</v>
      </c>
      <c r="G331" s="15"/>
    </row>
    <row r="332" spans="1:7" ht="30" outlineLevel="1">
      <c r="A332" s="16" t="s">
        <v>35</v>
      </c>
      <c r="B332" s="17" t="s">
        <v>68</v>
      </c>
      <c r="C332" s="18" t="s">
        <v>38</v>
      </c>
      <c r="D332" s="17" t="s">
        <v>63</v>
      </c>
      <c r="E332" s="17" t="s">
        <v>64</v>
      </c>
      <c r="F332" s="17" t="s">
        <v>63</v>
      </c>
      <c r="G332" s="19" t="s">
        <v>64</v>
      </c>
    </row>
    <row r="333" spans="1:7" outlineLevel="1">
      <c r="A333" s="35"/>
      <c r="B333" s="8"/>
      <c r="C333" s="21"/>
      <c r="D333" s="178"/>
      <c r="E333" s="178"/>
      <c r="F333" s="178"/>
      <c r="G333" s="178"/>
    </row>
    <row r="334" spans="1:7" outlineLevel="1">
      <c r="A334" s="35"/>
      <c r="B334" s="8"/>
      <c r="C334" s="21"/>
      <c r="D334" s="178"/>
      <c r="E334" s="178"/>
      <c r="F334" s="178"/>
      <c r="G334" s="178"/>
    </row>
    <row r="335" spans="1:7" outlineLevel="1">
      <c r="A335" s="8"/>
      <c r="B335" s="8"/>
      <c r="C335" s="21"/>
      <c r="D335" s="178"/>
      <c r="E335" s="178"/>
      <c r="F335" s="178"/>
      <c r="G335" s="178"/>
    </row>
    <row r="336" spans="1:7" outlineLevel="1">
      <c r="A336" s="8"/>
      <c r="B336" s="8"/>
      <c r="C336" s="21"/>
      <c r="D336" s="178"/>
      <c r="E336" s="178"/>
      <c r="F336" s="178"/>
      <c r="G336" s="178"/>
    </row>
    <row r="337" spans="1:7" outlineLevel="1">
      <c r="A337" s="8"/>
      <c r="B337" s="8"/>
      <c r="C337" s="21"/>
      <c r="D337" s="178"/>
      <c r="E337" s="178"/>
      <c r="F337" s="178"/>
      <c r="G337" s="178"/>
    </row>
    <row r="338" spans="1:7" outlineLevel="1">
      <c r="A338" s="8"/>
      <c r="B338" s="8"/>
      <c r="C338" s="21"/>
      <c r="D338" s="178"/>
      <c r="E338" s="178"/>
      <c r="F338" s="178"/>
      <c r="G338" s="178"/>
    </row>
    <row r="339" spans="1:7" outlineLevel="1">
      <c r="A339" s="8"/>
      <c r="B339" s="8"/>
      <c r="C339" s="21"/>
      <c r="D339" s="178"/>
      <c r="E339" s="178"/>
      <c r="F339" s="178"/>
      <c r="G339" s="178"/>
    </row>
    <row r="340" spans="1:7" outlineLevel="1">
      <c r="A340" s="8"/>
      <c r="B340" s="8"/>
      <c r="C340" s="21"/>
      <c r="D340" s="178"/>
      <c r="E340" s="178"/>
      <c r="F340" s="178"/>
      <c r="G340" s="178"/>
    </row>
    <row r="341" spans="1:7" outlineLevel="1"/>
    <row r="343" spans="1:7">
      <c r="A343" s="249" t="s">
        <v>73</v>
      </c>
      <c r="B343" s="249" t="str">
        <f>'Chart of Accounts GL'!B44</f>
        <v>Sales Returns &amp; Allowances</v>
      </c>
      <c r="C343" s="250"/>
      <c r="D343" s="249"/>
      <c r="E343" s="249"/>
      <c r="F343" s="249" t="s">
        <v>71</v>
      </c>
      <c r="G343" s="249">
        <f>'Chart of Accounts GL'!A44</f>
        <v>511</v>
      </c>
    </row>
    <row r="344" spans="1:7" ht="15.75" outlineLevel="1" thickBot="1">
      <c r="A344" s="11"/>
      <c r="B344" s="12"/>
      <c r="C344" s="13"/>
      <c r="D344" s="14" t="s">
        <v>69</v>
      </c>
      <c r="E344" s="14"/>
      <c r="F344" s="14" t="s">
        <v>70</v>
      </c>
      <c r="G344" s="15"/>
    </row>
    <row r="345" spans="1:7" ht="30" outlineLevel="1">
      <c r="A345" s="16" t="s">
        <v>35</v>
      </c>
      <c r="B345" s="17" t="s">
        <v>68</v>
      </c>
      <c r="C345" s="18" t="s">
        <v>38</v>
      </c>
      <c r="D345" s="17" t="s">
        <v>63</v>
      </c>
      <c r="E345" s="17" t="s">
        <v>64</v>
      </c>
      <c r="F345" s="17" t="s">
        <v>63</v>
      </c>
      <c r="G345" s="19" t="s">
        <v>64</v>
      </c>
    </row>
    <row r="346" spans="1:7" outlineLevel="1">
      <c r="A346" s="35"/>
      <c r="B346" s="8"/>
      <c r="C346" s="21"/>
      <c r="D346" s="38"/>
      <c r="E346" s="8"/>
      <c r="F346" s="38"/>
      <c r="G346" s="8"/>
    </row>
    <row r="347" spans="1:7" outlineLevel="1">
      <c r="A347" s="35"/>
      <c r="B347" s="8"/>
      <c r="C347" s="21"/>
      <c r="D347" s="8"/>
      <c r="E347" s="113"/>
      <c r="F347" s="38"/>
      <c r="G347" s="8"/>
    </row>
    <row r="348" spans="1:7" outlineLevel="1">
      <c r="A348" s="8"/>
      <c r="B348" s="8"/>
      <c r="C348" s="21"/>
      <c r="D348" s="8"/>
      <c r="E348" s="8"/>
      <c r="F348" s="8"/>
      <c r="G348" s="8"/>
    </row>
    <row r="349" spans="1:7" outlineLevel="1">
      <c r="A349" s="8"/>
      <c r="B349" s="8"/>
      <c r="C349" s="21"/>
      <c r="D349" s="8"/>
      <c r="E349" s="8"/>
      <c r="F349" s="8"/>
      <c r="G349" s="8"/>
    </row>
    <row r="350" spans="1:7" outlineLevel="1">
      <c r="A350" s="8"/>
      <c r="B350" s="8"/>
      <c r="C350" s="21"/>
      <c r="D350" s="8"/>
      <c r="E350" s="8"/>
      <c r="F350" s="8"/>
      <c r="G350" s="8"/>
    </row>
    <row r="351" spans="1:7" outlineLevel="1">
      <c r="A351" s="8"/>
      <c r="B351" s="8"/>
      <c r="C351" s="21"/>
      <c r="D351" s="8"/>
      <c r="E351" s="8"/>
      <c r="F351" s="8"/>
      <c r="G351" s="8"/>
    </row>
    <row r="352" spans="1:7" outlineLevel="1">
      <c r="A352" s="8"/>
      <c r="B352" s="8"/>
      <c r="C352" s="21"/>
      <c r="D352" s="8"/>
      <c r="E352" s="8"/>
      <c r="F352" s="8"/>
      <c r="G352" s="8"/>
    </row>
    <row r="353" spans="1:7" outlineLevel="1">
      <c r="A353" s="8"/>
      <c r="B353" s="8"/>
      <c r="C353" s="21"/>
      <c r="D353" s="8"/>
      <c r="E353" s="8"/>
      <c r="F353" s="8"/>
      <c r="G353" s="8"/>
    </row>
    <row r="354" spans="1:7" outlineLevel="1"/>
    <row r="356" spans="1:7">
      <c r="A356" s="249" t="s">
        <v>73</v>
      </c>
      <c r="B356" s="249" t="str">
        <f>'Chart of Accounts GL'!B46</f>
        <v>Cost of Goods Sold</v>
      </c>
      <c r="C356" s="250"/>
      <c r="D356" s="249"/>
      <c r="E356" s="249"/>
      <c r="F356" s="249" t="s">
        <v>71</v>
      </c>
      <c r="G356" s="249">
        <f>'Chart of Accounts GL'!A46</f>
        <v>600</v>
      </c>
    </row>
    <row r="357" spans="1:7" ht="15.75" outlineLevel="1" thickBot="1">
      <c r="A357" s="11"/>
      <c r="B357" s="12"/>
      <c r="C357" s="13"/>
      <c r="D357" s="14" t="s">
        <v>69</v>
      </c>
      <c r="E357" s="14"/>
      <c r="F357" s="14" t="s">
        <v>70</v>
      </c>
      <c r="G357" s="15"/>
    </row>
    <row r="358" spans="1:7" ht="30" outlineLevel="1">
      <c r="A358" s="16" t="s">
        <v>35</v>
      </c>
      <c r="B358" s="17" t="s">
        <v>68</v>
      </c>
      <c r="C358" s="18" t="s">
        <v>38</v>
      </c>
      <c r="D358" s="17" t="s">
        <v>63</v>
      </c>
      <c r="E358" s="17" t="s">
        <v>64</v>
      </c>
      <c r="F358" s="17" t="s">
        <v>63</v>
      </c>
      <c r="G358" s="19" t="s">
        <v>64</v>
      </c>
    </row>
    <row r="359" spans="1:7" outlineLevel="1">
      <c r="A359" s="35"/>
      <c r="B359" s="8"/>
      <c r="C359" s="21"/>
      <c r="D359" s="38"/>
      <c r="E359" s="178"/>
      <c r="F359" s="178"/>
      <c r="G359" s="178"/>
    </row>
    <row r="360" spans="1:7" outlineLevel="1">
      <c r="A360" s="35"/>
      <c r="B360" s="8"/>
      <c r="C360" s="21"/>
      <c r="D360" s="38"/>
      <c r="E360" s="178"/>
      <c r="F360" s="178"/>
      <c r="G360" s="178"/>
    </row>
    <row r="361" spans="1:7" outlineLevel="1">
      <c r="A361" s="35"/>
      <c r="B361" s="8"/>
      <c r="C361" s="21"/>
      <c r="D361" s="8"/>
      <c r="E361" s="38"/>
      <c r="F361" s="38"/>
      <c r="G361" s="8"/>
    </row>
    <row r="362" spans="1:7" outlineLevel="1">
      <c r="A362" s="35"/>
      <c r="B362" s="8"/>
      <c r="C362" s="21"/>
      <c r="D362" s="8"/>
      <c r="E362" s="113"/>
      <c r="F362" s="38"/>
      <c r="G362" s="8"/>
    </row>
    <row r="363" spans="1:7" outlineLevel="1">
      <c r="A363" s="35"/>
      <c r="B363" s="8"/>
      <c r="C363" s="21"/>
      <c r="D363" s="8"/>
      <c r="E363" s="113"/>
      <c r="F363" s="38"/>
      <c r="G363" s="8"/>
    </row>
    <row r="364" spans="1:7" outlineLevel="1">
      <c r="A364" s="8"/>
      <c r="B364" s="8"/>
      <c r="C364" s="21"/>
      <c r="D364" s="8"/>
      <c r="E364" s="8"/>
      <c r="F364" s="8"/>
      <c r="G364" s="8"/>
    </row>
    <row r="365" spans="1:7" outlineLevel="1">
      <c r="A365" s="8"/>
      <c r="B365" s="8"/>
      <c r="C365" s="21"/>
      <c r="D365" s="8"/>
      <c r="E365" s="8"/>
      <c r="F365" s="8"/>
      <c r="G365" s="8"/>
    </row>
    <row r="366" spans="1:7" outlineLevel="1">
      <c r="A366" s="8"/>
      <c r="B366" s="8"/>
      <c r="C366" s="21"/>
      <c r="D366" s="8"/>
      <c r="E366" s="8"/>
      <c r="F366" s="8"/>
      <c r="G366" s="8"/>
    </row>
    <row r="367" spans="1:7" outlineLevel="1"/>
    <row r="369" spans="1:7">
      <c r="A369" s="249" t="s">
        <v>73</v>
      </c>
      <c r="B369" s="249" t="str">
        <f>'Chart of Accounts GL'!B48</f>
        <v>Wage Expense (hourly workers)</v>
      </c>
      <c r="C369" s="250"/>
      <c r="D369" s="249"/>
      <c r="E369" s="249"/>
      <c r="F369" s="249" t="s">
        <v>71</v>
      </c>
      <c r="G369" s="249">
        <f>'Chart of Accounts GL'!A48</f>
        <v>700</v>
      </c>
    </row>
    <row r="370" spans="1:7" ht="15.75" outlineLevel="1" thickBot="1">
      <c r="A370" s="11"/>
      <c r="B370" s="12"/>
      <c r="C370" s="13"/>
      <c r="D370" s="14" t="s">
        <v>69</v>
      </c>
      <c r="E370" s="14"/>
      <c r="F370" s="14" t="s">
        <v>70</v>
      </c>
      <c r="G370" s="15"/>
    </row>
    <row r="371" spans="1:7" ht="30" outlineLevel="1">
      <c r="A371" s="16" t="s">
        <v>35</v>
      </c>
      <c r="B371" s="17" t="s">
        <v>68</v>
      </c>
      <c r="C371" s="18" t="s">
        <v>38</v>
      </c>
      <c r="D371" s="17" t="s">
        <v>63</v>
      </c>
      <c r="E371" s="17" t="s">
        <v>64</v>
      </c>
      <c r="F371" s="17" t="s">
        <v>63</v>
      </c>
      <c r="G371" s="19" t="s">
        <v>64</v>
      </c>
    </row>
    <row r="372" spans="1:7" outlineLevel="1">
      <c r="A372" s="35"/>
      <c r="B372" s="8"/>
      <c r="C372" s="21"/>
      <c r="D372" s="36"/>
      <c r="E372" s="36"/>
      <c r="F372" s="36"/>
      <c r="G372" s="36"/>
    </row>
    <row r="373" spans="1:7" outlineLevel="1">
      <c r="A373" s="35"/>
      <c r="B373" s="8"/>
      <c r="C373" s="21"/>
      <c r="D373" s="36"/>
      <c r="E373" s="36"/>
      <c r="F373" s="36"/>
      <c r="G373" s="36"/>
    </row>
    <row r="374" spans="1:7" outlineLevel="1">
      <c r="A374" s="35"/>
      <c r="B374" s="8"/>
      <c r="C374" s="21"/>
      <c r="D374" s="36"/>
      <c r="E374" s="36"/>
      <c r="F374" s="36"/>
      <c r="G374" s="36"/>
    </row>
    <row r="375" spans="1:7" outlineLevel="1">
      <c r="A375" s="8"/>
      <c r="B375" s="8"/>
      <c r="C375" s="21"/>
      <c r="D375" s="8"/>
      <c r="E375" s="8"/>
      <c r="F375" s="8"/>
      <c r="G375" s="8"/>
    </row>
    <row r="376" spans="1:7" outlineLevel="1">
      <c r="A376" s="8"/>
      <c r="B376" s="8"/>
      <c r="C376" s="21"/>
      <c r="D376" s="8"/>
      <c r="E376" s="8"/>
      <c r="F376" s="8"/>
      <c r="G376" s="8"/>
    </row>
    <row r="377" spans="1:7" outlineLevel="1">
      <c r="A377" s="8"/>
      <c r="B377" s="8"/>
      <c r="C377" s="21"/>
      <c r="D377" s="8"/>
      <c r="E377" s="8"/>
      <c r="F377" s="8"/>
      <c r="G377" s="8"/>
    </row>
    <row r="378" spans="1:7" outlineLevel="1">
      <c r="A378" s="8"/>
      <c r="B378" s="8"/>
      <c r="C378" s="21"/>
      <c r="D378" s="8"/>
      <c r="E378" s="8"/>
      <c r="F378" s="8"/>
      <c r="G378" s="8"/>
    </row>
    <row r="379" spans="1:7" outlineLevel="1">
      <c r="A379" s="8"/>
      <c r="B379" s="8"/>
      <c r="C379" s="21"/>
      <c r="D379" s="8"/>
      <c r="E379" s="8"/>
      <c r="F379" s="8"/>
      <c r="G379" s="8"/>
    </row>
    <row r="380" spans="1:7" outlineLevel="1"/>
    <row r="382" spans="1:7">
      <c r="A382" s="249" t="s">
        <v>73</v>
      </c>
      <c r="B382" s="249" t="str">
        <f>'Chart of Accounts GL'!B49</f>
        <v>Salaries Expense (Exempt Staff)</v>
      </c>
      <c r="C382" s="250"/>
      <c r="D382" s="249"/>
      <c r="E382" s="249"/>
      <c r="F382" s="249" t="s">
        <v>71</v>
      </c>
      <c r="G382" s="249">
        <f>'Chart of Accounts GL'!A49</f>
        <v>701</v>
      </c>
    </row>
    <row r="383" spans="1:7" ht="15.75" outlineLevel="1" thickBot="1">
      <c r="A383" s="11"/>
      <c r="B383" s="12"/>
      <c r="C383" s="13"/>
      <c r="D383" s="14" t="s">
        <v>69</v>
      </c>
      <c r="E383" s="14"/>
      <c r="F383" s="14" t="s">
        <v>70</v>
      </c>
      <c r="G383" s="15"/>
    </row>
    <row r="384" spans="1:7" ht="30" outlineLevel="1">
      <c r="A384" s="16" t="s">
        <v>35</v>
      </c>
      <c r="B384" s="17" t="s">
        <v>68</v>
      </c>
      <c r="C384" s="18" t="s">
        <v>38</v>
      </c>
      <c r="D384" s="17" t="s">
        <v>63</v>
      </c>
      <c r="E384" s="17" t="s">
        <v>64</v>
      </c>
      <c r="F384" s="17" t="s">
        <v>63</v>
      </c>
      <c r="G384" s="19" t="s">
        <v>64</v>
      </c>
    </row>
    <row r="385" spans="1:7" outlineLevel="1">
      <c r="A385" s="35"/>
      <c r="B385" s="8"/>
      <c r="C385" s="21"/>
      <c r="D385" s="36"/>
      <c r="E385" s="36"/>
      <c r="F385" s="36"/>
      <c r="G385" s="36"/>
    </row>
    <row r="386" spans="1:7" outlineLevel="1">
      <c r="A386" s="35"/>
      <c r="B386" s="8"/>
      <c r="C386" s="21"/>
      <c r="D386" s="36"/>
      <c r="E386" s="36"/>
      <c r="F386" s="36"/>
      <c r="G386" s="36"/>
    </row>
    <row r="387" spans="1:7" outlineLevel="1">
      <c r="A387" s="35"/>
      <c r="B387" s="8"/>
      <c r="C387" s="21"/>
      <c r="D387" s="36"/>
      <c r="E387" s="36"/>
      <c r="F387" s="36"/>
      <c r="G387" s="36"/>
    </row>
    <row r="388" spans="1:7" outlineLevel="1">
      <c r="A388" s="8"/>
      <c r="B388" s="8"/>
      <c r="C388" s="21"/>
      <c r="D388" s="8"/>
      <c r="E388" s="8"/>
      <c r="F388" s="8"/>
      <c r="G388" s="8"/>
    </row>
    <row r="389" spans="1:7" outlineLevel="1">
      <c r="A389" s="8"/>
      <c r="B389" s="8"/>
      <c r="C389" s="21"/>
      <c r="D389" s="8"/>
      <c r="E389" s="8"/>
      <c r="F389" s="8"/>
      <c r="G389" s="8"/>
    </row>
    <row r="390" spans="1:7" outlineLevel="1">
      <c r="A390" s="8"/>
      <c r="B390" s="8"/>
      <c r="C390" s="21"/>
      <c r="D390" s="8"/>
      <c r="E390" s="8"/>
      <c r="F390" s="8"/>
      <c r="G390" s="8"/>
    </row>
    <row r="391" spans="1:7" outlineLevel="1">
      <c r="A391" s="8"/>
      <c r="B391" s="8"/>
      <c r="C391" s="21"/>
      <c r="D391" s="8"/>
      <c r="E391" s="8"/>
      <c r="F391" s="8"/>
      <c r="G391" s="8"/>
    </row>
    <row r="392" spans="1:7" outlineLevel="1">
      <c r="A392" s="8"/>
      <c r="B392" s="8"/>
      <c r="C392" s="21"/>
      <c r="D392" s="8"/>
      <c r="E392" s="8"/>
      <c r="F392" s="8"/>
      <c r="G392" s="8"/>
    </row>
    <row r="393" spans="1:7" outlineLevel="1"/>
    <row r="395" spans="1:7">
      <c r="A395" s="249" t="s">
        <v>73</v>
      </c>
      <c r="B395" s="249" t="str">
        <f>'Chart of Accounts GL'!B50</f>
        <v>Marketing Expense</v>
      </c>
      <c r="C395" s="250"/>
      <c r="D395" s="249"/>
      <c r="E395" s="249"/>
      <c r="F395" s="249" t="s">
        <v>71</v>
      </c>
      <c r="G395" s="249">
        <f>'Chart of Accounts GL'!A50</f>
        <v>702</v>
      </c>
    </row>
    <row r="396" spans="1:7" ht="15.75" outlineLevel="1" thickBot="1">
      <c r="A396" s="11"/>
      <c r="B396" s="12"/>
      <c r="C396" s="13"/>
      <c r="D396" s="14" t="s">
        <v>69</v>
      </c>
      <c r="E396" s="14"/>
      <c r="F396" s="14" t="s">
        <v>70</v>
      </c>
      <c r="G396" s="15"/>
    </row>
    <row r="397" spans="1:7" ht="30" outlineLevel="1">
      <c r="A397" s="16" t="s">
        <v>35</v>
      </c>
      <c r="B397" s="17" t="s">
        <v>68</v>
      </c>
      <c r="C397" s="18" t="s">
        <v>38</v>
      </c>
      <c r="D397" s="17" t="s">
        <v>63</v>
      </c>
      <c r="E397" s="17" t="s">
        <v>64</v>
      </c>
      <c r="F397" s="17" t="s">
        <v>63</v>
      </c>
      <c r="G397" s="19" t="s">
        <v>64</v>
      </c>
    </row>
    <row r="398" spans="1:7" outlineLevel="1">
      <c r="A398" s="35"/>
      <c r="B398" s="8"/>
      <c r="C398" s="21"/>
      <c r="D398" s="36"/>
      <c r="E398" s="36"/>
      <c r="F398" s="36"/>
      <c r="G398" s="36"/>
    </row>
    <row r="399" spans="1:7" outlineLevel="1">
      <c r="A399" s="35"/>
      <c r="B399" s="8"/>
      <c r="C399" s="21"/>
      <c r="D399" s="36"/>
      <c r="E399" s="36"/>
      <c r="F399" s="36"/>
      <c r="G399" s="36"/>
    </row>
    <row r="400" spans="1:7" outlineLevel="1">
      <c r="A400" s="8"/>
      <c r="B400" s="8"/>
      <c r="C400" s="21"/>
      <c r="D400" s="36"/>
      <c r="E400" s="36"/>
      <c r="F400" s="36"/>
      <c r="G400" s="36"/>
    </row>
    <row r="401" spans="1:7" outlineLevel="1">
      <c r="A401" s="8"/>
      <c r="B401" s="8"/>
      <c r="C401" s="21"/>
      <c r="D401" s="8"/>
      <c r="E401" s="8"/>
      <c r="F401" s="8"/>
      <c r="G401" s="8"/>
    </row>
    <row r="402" spans="1:7" outlineLevel="1">
      <c r="A402" s="8"/>
      <c r="B402" s="8"/>
      <c r="C402" s="21"/>
      <c r="D402" s="8"/>
      <c r="E402" s="8"/>
      <c r="F402" s="8"/>
      <c r="G402" s="8"/>
    </row>
    <row r="403" spans="1:7" outlineLevel="1">
      <c r="A403" s="8"/>
      <c r="B403" s="8"/>
      <c r="C403" s="21"/>
      <c r="D403" s="8"/>
      <c r="E403" s="8"/>
      <c r="F403" s="8"/>
      <c r="G403" s="8"/>
    </row>
    <row r="404" spans="1:7" outlineLevel="1">
      <c r="A404" s="8"/>
      <c r="B404" s="8"/>
      <c r="C404" s="21"/>
      <c r="D404" s="8"/>
      <c r="E404" s="8"/>
      <c r="F404" s="8"/>
      <c r="G404" s="8"/>
    </row>
    <row r="405" spans="1:7" outlineLevel="1">
      <c r="A405" s="8"/>
      <c r="B405" s="8"/>
      <c r="C405" s="21"/>
      <c r="D405" s="8"/>
      <c r="E405" s="8"/>
      <c r="F405" s="8"/>
      <c r="G405" s="8"/>
    </row>
    <row r="406" spans="1:7" outlineLevel="1"/>
    <row r="408" spans="1:7">
      <c r="A408" s="249" t="s">
        <v>73</v>
      </c>
      <c r="B408" s="249" t="str">
        <f>'Chart of Accounts GL'!B51</f>
        <v>Travel and Entertainment Expense</v>
      </c>
      <c r="C408" s="250"/>
      <c r="D408" s="249"/>
      <c r="E408" s="249"/>
      <c r="F408" s="249" t="s">
        <v>71</v>
      </c>
      <c r="G408" s="249">
        <f>'Chart of Accounts GL'!A51</f>
        <v>703</v>
      </c>
    </row>
    <row r="409" spans="1:7" ht="15.75" outlineLevel="1" thickBot="1">
      <c r="A409" s="11"/>
      <c r="B409" s="12"/>
      <c r="C409" s="13"/>
      <c r="D409" s="14" t="s">
        <v>69</v>
      </c>
      <c r="E409" s="14"/>
      <c r="F409" s="14" t="s">
        <v>70</v>
      </c>
      <c r="G409" s="15"/>
    </row>
    <row r="410" spans="1:7" ht="30" outlineLevel="1">
      <c r="A410" s="16" t="s">
        <v>35</v>
      </c>
      <c r="B410" s="17" t="s">
        <v>68</v>
      </c>
      <c r="C410" s="18" t="s">
        <v>38</v>
      </c>
      <c r="D410" s="17" t="s">
        <v>63</v>
      </c>
      <c r="E410" s="17" t="s">
        <v>64</v>
      </c>
      <c r="F410" s="17" t="s">
        <v>63</v>
      </c>
      <c r="G410" s="19" t="s">
        <v>64</v>
      </c>
    </row>
    <row r="411" spans="1:7" outlineLevel="1">
      <c r="A411" s="35"/>
      <c r="B411" s="8"/>
      <c r="C411" s="21"/>
      <c r="D411" s="36"/>
      <c r="E411" s="36"/>
      <c r="F411" s="36"/>
      <c r="G411" s="36"/>
    </row>
    <row r="412" spans="1:7" outlineLevel="1">
      <c r="A412" s="35"/>
      <c r="B412" s="8"/>
      <c r="C412" s="21"/>
      <c r="D412" s="36"/>
      <c r="E412" s="36"/>
      <c r="F412" s="36"/>
      <c r="G412" s="36"/>
    </row>
    <row r="413" spans="1:7" outlineLevel="1">
      <c r="A413" s="8"/>
      <c r="B413" s="8"/>
      <c r="C413" s="21"/>
      <c r="D413" s="8"/>
      <c r="E413" s="8"/>
      <c r="F413" s="8"/>
      <c r="G413" s="8"/>
    </row>
    <row r="414" spans="1:7" outlineLevel="1">
      <c r="A414" s="8"/>
      <c r="B414" s="8"/>
      <c r="C414" s="21"/>
      <c r="D414" s="8"/>
      <c r="E414" s="8"/>
      <c r="F414" s="8"/>
      <c r="G414" s="8"/>
    </row>
    <row r="415" spans="1:7" outlineLevel="1">
      <c r="A415" s="8"/>
      <c r="B415" s="8"/>
      <c r="C415" s="21"/>
      <c r="D415" s="8"/>
      <c r="E415" s="8"/>
      <c r="F415" s="8"/>
      <c r="G415" s="8"/>
    </row>
    <row r="416" spans="1:7" outlineLevel="1">
      <c r="A416" s="8"/>
      <c r="B416" s="8"/>
      <c r="C416" s="21"/>
      <c r="D416" s="8"/>
      <c r="E416" s="8"/>
      <c r="F416" s="8"/>
      <c r="G416" s="8"/>
    </row>
    <row r="417" spans="1:7" outlineLevel="1">
      <c r="A417" s="8"/>
      <c r="B417" s="8"/>
      <c r="C417" s="21"/>
      <c r="D417" s="8"/>
      <c r="E417" s="8"/>
      <c r="F417" s="8"/>
      <c r="G417" s="8"/>
    </row>
    <row r="418" spans="1:7" outlineLevel="1">
      <c r="A418" s="8"/>
      <c r="B418" s="8"/>
      <c r="C418" s="21"/>
      <c r="D418" s="8"/>
      <c r="E418" s="8"/>
      <c r="F418" s="8"/>
      <c r="G418" s="8"/>
    </row>
    <row r="419" spans="1:7" outlineLevel="1"/>
    <row r="421" spans="1:7">
      <c r="A421" s="249" t="s">
        <v>73</v>
      </c>
      <c r="B421" s="249" t="str">
        <f>'Chart of Accounts GL'!B52</f>
        <v>Bad Debt Expense</v>
      </c>
      <c r="C421" s="250"/>
      <c r="D421" s="249"/>
      <c r="E421" s="249"/>
      <c r="F421" s="249" t="s">
        <v>71</v>
      </c>
      <c r="G421" s="249">
        <f>'Chart of Accounts GL'!A52</f>
        <v>704</v>
      </c>
    </row>
    <row r="422" spans="1:7" ht="15.75" outlineLevel="1" thickBot="1">
      <c r="A422" s="11"/>
      <c r="B422" s="12"/>
      <c r="C422" s="13"/>
      <c r="D422" s="14" t="s">
        <v>69</v>
      </c>
      <c r="E422" s="14"/>
      <c r="F422" s="14" t="s">
        <v>70</v>
      </c>
      <c r="G422" s="15"/>
    </row>
    <row r="423" spans="1:7" ht="30" outlineLevel="1">
      <c r="A423" s="16" t="s">
        <v>35</v>
      </c>
      <c r="B423" s="17" t="s">
        <v>68</v>
      </c>
      <c r="C423" s="18" t="s">
        <v>38</v>
      </c>
      <c r="D423" s="17" t="s">
        <v>63</v>
      </c>
      <c r="E423" s="17" t="s">
        <v>64</v>
      </c>
      <c r="F423" s="17" t="s">
        <v>63</v>
      </c>
      <c r="G423" s="19" t="s">
        <v>64</v>
      </c>
    </row>
    <row r="424" spans="1:7" outlineLevel="1">
      <c r="A424" s="35"/>
      <c r="B424" s="8"/>
      <c r="C424" s="21"/>
      <c r="D424" s="36"/>
      <c r="E424" s="36"/>
      <c r="F424" s="36"/>
      <c r="G424" s="36"/>
    </row>
    <row r="425" spans="1:7" outlineLevel="1">
      <c r="A425" s="35"/>
      <c r="B425" s="8"/>
      <c r="C425" s="21"/>
      <c r="D425" s="36"/>
      <c r="E425" s="36"/>
      <c r="F425" s="36"/>
      <c r="G425" s="36"/>
    </row>
    <row r="426" spans="1:7" outlineLevel="1">
      <c r="A426" s="8"/>
      <c r="B426" s="8"/>
      <c r="C426" s="21"/>
      <c r="D426" s="8"/>
      <c r="E426" s="8"/>
      <c r="F426" s="8"/>
      <c r="G426" s="8"/>
    </row>
    <row r="427" spans="1:7" outlineLevel="1">
      <c r="A427" s="8"/>
      <c r="B427" s="8"/>
      <c r="C427" s="21"/>
      <c r="D427" s="8"/>
      <c r="E427" s="8"/>
      <c r="F427" s="8"/>
      <c r="G427" s="8"/>
    </row>
    <row r="428" spans="1:7" outlineLevel="1">
      <c r="A428" s="8"/>
      <c r="B428" s="8"/>
      <c r="C428" s="21"/>
      <c r="D428" s="8"/>
      <c r="E428" s="8"/>
      <c r="F428" s="8"/>
      <c r="G428" s="8"/>
    </row>
    <row r="429" spans="1:7" outlineLevel="1">
      <c r="A429" s="8"/>
      <c r="B429" s="8"/>
      <c r="C429" s="21"/>
      <c r="D429" s="8"/>
      <c r="E429" s="8"/>
      <c r="F429" s="8"/>
      <c r="G429" s="8"/>
    </row>
    <row r="430" spans="1:7" outlineLevel="1">
      <c r="A430" s="8"/>
      <c r="B430" s="8"/>
      <c r="C430" s="21"/>
      <c r="D430" s="8"/>
      <c r="E430" s="8"/>
      <c r="F430" s="8"/>
      <c r="G430" s="8"/>
    </row>
    <row r="431" spans="1:7" outlineLevel="1">
      <c r="A431" s="8"/>
      <c r="B431" s="8"/>
      <c r="C431" s="21"/>
      <c r="D431" s="8"/>
      <c r="E431" s="8"/>
      <c r="F431" s="8"/>
      <c r="G431" s="8"/>
    </row>
    <row r="432" spans="1:7" outlineLevel="1"/>
    <row r="434" spans="1:7">
      <c r="A434" s="249" t="s">
        <v>73</v>
      </c>
      <c r="B434" s="249" t="str">
        <f>'Chart of Accounts GL'!B53</f>
        <v>Property Tax Expense</v>
      </c>
      <c r="C434" s="250"/>
      <c r="D434" s="249"/>
      <c r="E434" s="249"/>
      <c r="F434" s="249" t="s">
        <v>71</v>
      </c>
      <c r="G434" s="249">
        <f>'Chart of Accounts GL'!A53</f>
        <v>705</v>
      </c>
    </row>
    <row r="435" spans="1:7" ht="15.75" outlineLevel="1" thickBot="1">
      <c r="A435" s="11"/>
      <c r="B435" s="12"/>
      <c r="C435" s="13"/>
      <c r="D435" s="14" t="s">
        <v>69</v>
      </c>
      <c r="E435" s="14"/>
      <c r="F435" s="14" t="s">
        <v>70</v>
      </c>
      <c r="G435" s="15"/>
    </row>
    <row r="436" spans="1:7" ht="30" outlineLevel="1">
      <c r="A436" s="16" t="s">
        <v>35</v>
      </c>
      <c r="B436" s="17" t="s">
        <v>68</v>
      </c>
      <c r="C436" s="18" t="s">
        <v>38</v>
      </c>
      <c r="D436" s="17" t="s">
        <v>63</v>
      </c>
      <c r="E436" s="17" t="s">
        <v>64</v>
      </c>
      <c r="F436" s="17" t="s">
        <v>63</v>
      </c>
      <c r="G436" s="19" t="s">
        <v>64</v>
      </c>
    </row>
    <row r="437" spans="1:7" outlineLevel="1">
      <c r="A437" s="8"/>
      <c r="B437" s="8"/>
      <c r="C437" s="21"/>
      <c r="D437" s="8"/>
      <c r="E437" s="8"/>
      <c r="F437" s="8"/>
      <c r="G437" s="8"/>
    </row>
    <row r="438" spans="1:7" outlineLevel="1">
      <c r="A438" s="35"/>
      <c r="B438" s="8"/>
      <c r="C438" s="21"/>
      <c r="D438" s="8"/>
      <c r="E438" s="8"/>
      <c r="F438" s="8"/>
      <c r="G438" s="8"/>
    </row>
    <row r="439" spans="1:7" outlineLevel="1">
      <c r="A439" s="8"/>
      <c r="B439" s="8"/>
      <c r="C439" s="21"/>
      <c r="D439" s="8"/>
      <c r="E439" s="8"/>
      <c r="F439" s="8"/>
      <c r="G439" s="8"/>
    </row>
    <row r="440" spans="1:7" outlineLevel="1">
      <c r="A440" s="8"/>
      <c r="B440" s="8"/>
      <c r="C440" s="21"/>
      <c r="D440" s="8"/>
      <c r="E440" s="8"/>
      <c r="F440" s="8"/>
      <c r="G440" s="8"/>
    </row>
    <row r="441" spans="1:7" outlineLevel="1">
      <c r="A441" s="8"/>
      <c r="B441" s="8"/>
      <c r="C441" s="21"/>
      <c r="D441" s="8"/>
      <c r="E441" s="8"/>
      <c r="F441" s="8"/>
      <c r="G441" s="8"/>
    </row>
    <row r="442" spans="1:7" outlineLevel="1">
      <c r="A442" s="8"/>
      <c r="B442" s="8"/>
      <c r="C442" s="21"/>
      <c r="D442" s="8"/>
      <c r="E442" s="8"/>
      <c r="F442" s="8"/>
      <c r="G442" s="8"/>
    </row>
    <row r="443" spans="1:7" outlineLevel="1">
      <c r="A443" s="8"/>
      <c r="B443" s="8"/>
      <c r="C443" s="21"/>
      <c r="D443" s="8"/>
      <c r="E443" s="8"/>
      <c r="F443" s="8"/>
      <c r="G443" s="8"/>
    </row>
    <row r="444" spans="1:7" outlineLevel="1">
      <c r="A444" s="8"/>
      <c r="B444" s="8"/>
      <c r="C444" s="21"/>
      <c r="D444" s="8"/>
      <c r="E444" s="8"/>
      <c r="F444" s="8"/>
      <c r="G444" s="8"/>
    </row>
    <row r="445" spans="1:7" outlineLevel="1"/>
    <row r="447" spans="1:7">
      <c r="A447" s="249" t="s">
        <v>73</v>
      </c>
      <c r="B447" s="249" t="str">
        <f>'Chart of Accounts GL'!B54</f>
        <v>Office Maintenance &amp; Repair Expense</v>
      </c>
      <c r="C447" s="250"/>
      <c r="D447" s="249"/>
      <c r="E447" s="249"/>
      <c r="F447" s="249" t="s">
        <v>71</v>
      </c>
      <c r="G447" s="249">
        <f>'Chart of Accounts GL'!A54</f>
        <v>706</v>
      </c>
    </row>
    <row r="448" spans="1:7" ht="15.75" outlineLevel="1" thickBot="1">
      <c r="A448" s="11"/>
      <c r="B448" s="12"/>
      <c r="C448" s="13"/>
      <c r="D448" s="14" t="s">
        <v>69</v>
      </c>
      <c r="E448" s="14"/>
      <c r="F448" s="14" t="s">
        <v>70</v>
      </c>
      <c r="G448" s="15"/>
    </row>
    <row r="449" spans="1:7" ht="30" outlineLevel="1">
      <c r="A449" s="16" t="s">
        <v>35</v>
      </c>
      <c r="B449" s="17" t="s">
        <v>68</v>
      </c>
      <c r="C449" s="18" t="s">
        <v>38</v>
      </c>
      <c r="D449" s="17" t="s">
        <v>63</v>
      </c>
      <c r="E449" s="17" t="s">
        <v>64</v>
      </c>
      <c r="F449" s="17" t="s">
        <v>63</v>
      </c>
      <c r="G449" s="19" t="s">
        <v>64</v>
      </c>
    </row>
    <row r="450" spans="1:7" outlineLevel="1">
      <c r="A450" s="8"/>
      <c r="B450" s="8"/>
      <c r="C450" s="21"/>
      <c r="D450" s="8"/>
      <c r="E450" s="8"/>
      <c r="F450" s="8"/>
      <c r="G450" s="8"/>
    </row>
    <row r="451" spans="1:7" outlineLevel="1">
      <c r="A451" s="8"/>
      <c r="B451" s="8"/>
      <c r="C451" s="21"/>
      <c r="D451" s="8"/>
      <c r="E451" s="8"/>
      <c r="F451" s="8"/>
      <c r="G451" s="8"/>
    </row>
    <row r="452" spans="1:7" outlineLevel="1">
      <c r="A452" s="8"/>
      <c r="B452" s="8"/>
      <c r="C452" s="21"/>
      <c r="D452" s="8"/>
      <c r="E452" s="8"/>
      <c r="F452" s="8"/>
      <c r="G452" s="8"/>
    </row>
    <row r="453" spans="1:7" outlineLevel="1">
      <c r="A453" s="8"/>
      <c r="B453" s="8"/>
      <c r="C453" s="21"/>
      <c r="D453" s="8"/>
      <c r="E453" s="8"/>
      <c r="F453" s="8"/>
      <c r="G453" s="8"/>
    </row>
    <row r="454" spans="1:7" outlineLevel="1">
      <c r="A454" s="8"/>
      <c r="B454" s="8"/>
      <c r="C454" s="21"/>
      <c r="D454" s="8"/>
      <c r="E454" s="8"/>
      <c r="F454" s="8"/>
      <c r="G454" s="8"/>
    </row>
    <row r="455" spans="1:7" outlineLevel="1">
      <c r="A455" s="8"/>
      <c r="B455" s="8"/>
      <c r="C455" s="21"/>
      <c r="D455" s="8"/>
      <c r="E455" s="8"/>
      <c r="F455" s="8"/>
      <c r="G455" s="8"/>
    </row>
    <row r="456" spans="1:7" outlineLevel="1">
      <c r="A456" s="8"/>
      <c r="B456" s="8"/>
      <c r="C456" s="21"/>
      <c r="D456" s="8"/>
      <c r="E456" s="8"/>
      <c r="F456" s="8"/>
      <c r="G456" s="8"/>
    </row>
    <row r="457" spans="1:7" outlineLevel="1">
      <c r="A457" s="8"/>
      <c r="B457" s="8"/>
      <c r="C457" s="21"/>
      <c r="D457" s="8"/>
      <c r="E457" s="8"/>
      <c r="F457" s="8"/>
      <c r="G457" s="8"/>
    </row>
    <row r="458" spans="1:7" outlineLevel="1"/>
    <row r="460" spans="1:7">
      <c r="A460" s="249" t="s">
        <v>73</v>
      </c>
      <c r="B460" s="249" t="str">
        <f>'Chart of Accounts GL'!B55</f>
        <v>Legal Expenses</v>
      </c>
      <c r="C460" s="250"/>
      <c r="D460" s="249"/>
      <c r="E460" s="249"/>
      <c r="F460" s="249" t="s">
        <v>71</v>
      </c>
      <c r="G460" s="249">
        <f>'Chart of Accounts GL'!A55</f>
        <v>707</v>
      </c>
    </row>
    <row r="461" spans="1:7" ht="15.75" outlineLevel="1" thickBot="1">
      <c r="A461" s="11"/>
      <c r="B461" s="12"/>
      <c r="C461" s="13"/>
      <c r="D461" s="14" t="s">
        <v>69</v>
      </c>
      <c r="E461" s="14"/>
      <c r="F461" s="14" t="s">
        <v>70</v>
      </c>
      <c r="G461" s="15"/>
    </row>
    <row r="462" spans="1:7" ht="30" outlineLevel="1">
      <c r="A462" s="16" t="s">
        <v>35</v>
      </c>
      <c r="B462" s="17" t="s">
        <v>68</v>
      </c>
      <c r="C462" s="18" t="s">
        <v>38</v>
      </c>
      <c r="D462" s="17" t="s">
        <v>63</v>
      </c>
      <c r="E462" s="17" t="s">
        <v>64</v>
      </c>
      <c r="F462" s="17" t="s">
        <v>63</v>
      </c>
      <c r="G462" s="19" t="s">
        <v>64</v>
      </c>
    </row>
    <row r="463" spans="1:7" outlineLevel="1">
      <c r="A463" s="35"/>
      <c r="B463" s="8"/>
      <c r="C463" s="21"/>
      <c r="D463" s="36"/>
      <c r="E463" s="36"/>
      <c r="F463" s="36"/>
      <c r="G463" s="36"/>
    </row>
    <row r="464" spans="1:7" outlineLevel="1">
      <c r="A464" s="35"/>
      <c r="B464" s="8"/>
      <c r="C464" s="21"/>
      <c r="D464" s="36"/>
      <c r="E464" s="36"/>
      <c r="F464" s="36"/>
      <c r="G464" s="36"/>
    </row>
    <row r="465" spans="1:7" outlineLevel="1">
      <c r="A465" s="8"/>
      <c r="B465" s="8"/>
      <c r="C465" s="21"/>
      <c r="D465" s="8"/>
      <c r="E465" s="8"/>
      <c r="F465" s="8"/>
      <c r="G465" s="8"/>
    </row>
    <row r="466" spans="1:7" outlineLevel="1">
      <c r="A466" s="8"/>
      <c r="B466" s="8"/>
      <c r="C466" s="21"/>
      <c r="D466" s="8"/>
      <c r="E466" s="8"/>
      <c r="F466" s="8"/>
      <c r="G466" s="8"/>
    </row>
    <row r="467" spans="1:7" outlineLevel="1">
      <c r="A467" s="8"/>
      <c r="B467" s="8"/>
      <c r="C467" s="21"/>
      <c r="D467" s="8"/>
      <c r="E467" s="8"/>
      <c r="F467" s="8"/>
      <c r="G467" s="8"/>
    </row>
    <row r="468" spans="1:7" outlineLevel="1">
      <c r="A468" s="8"/>
      <c r="B468" s="8"/>
      <c r="C468" s="21"/>
      <c r="D468" s="8"/>
      <c r="E468" s="8"/>
      <c r="F468" s="8"/>
      <c r="G468" s="8"/>
    </row>
    <row r="469" spans="1:7" outlineLevel="1">
      <c r="A469" s="8"/>
      <c r="B469" s="8"/>
      <c r="C469" s="21"/>
      <c r="D469" s="8"/>
      <c r="E469" s="8"/>
      <c r="F469" s="8"/>
      <c r="G469" s="8"/>
    </row>
    <row r="470" spans="1:7" outlineLevel="1">
      <c r="A470" s="8"/>
      <c r="B470" s="8"/>
      <c r="C470" s="21"/>
      <c r="D470" s="8"/>
      <c r="E470" s="8"/>
      <c r="F470" s="8"/>
      <c r="G470" s="8"/>
    </row>
    <row r="471" spans="1:7" outlineLevel="1"/>
    <row r="473" spans="1:7">
      <c r="A473" s="249" t="s">
        <v>73</v>
      </c>
      <c r="B473" s="249" t="str">
        <f>'Chart of Accounts GL'!B56</f>
        <v>Insurance Expense</v>
      </c>
      <c r="C473" s="250"/>
      <c r="D473" s="249"/>
      <c r="E473" s="249"/>
      <c r="F473" s="249" t="s">
        <v>71</v>
      </c>
      <c r="G473" s="249">
        <f>'Chart of Accounts GL'!A56</f>
        <v>708</v>
      </c>
    </row>
    <row r="474" spans="1:7" ht="15.75" outlineLevel="1" thickBot="1">
      <c r="A474" s="11"/>
      <c r="B474" s="12"/>
      <c r="C474" s="13"/>
      <c r="D474" s="14" t="s">
        <v>69</v>
      </c>
      <c r="E474" s="14"/>
      <c r="F474" s="14" t="s">
        <v>70</v>
      </c>
      <c r="G474" s="15"/>
    </row>
    <row r="475" spans="1:7" ht="30" outlineLevel="1">
      <c r="A475" s="16" t="s">
        <v>35</v>
      </c>
      <c r="B475" s="17" t="s">
        <v>68</v>
      </c>
      <c r="C475" s="18" t="s">
        <v>38</v>
      </c>
      <c r="D475" s="17" t="s">
        <v>63</v>
      </c>
      <c r="E475" s="17" t="s">
        <v>64</v>
      </c>
      <c r="F475" s="17" t="s">
        <v>63</v>
      </c>
      <c r="G475" s="19" t="s">
        <v>64</v>
      </c>
    </row>
    <row r="476" spans="1:7" outlineLevel="1">
      <c r="A476" s="35"/>
      <c r="B476" s="8"/>
      <c r="C476" s="21"/>
      <c r="D476" s="36"/>
      <c r="E476" s="36"/>
      <c r="F476" s="36"/>
      <c r="G476" s="36"/>
    </row>
    <row r="477" spans="1:7" outlineLevel="1">
      <c r="A477" s="35"/>
      <c r="B477" s="8"/>
      <c r="C477" s="21"/>
      <c r="D477" s="36"/>
      <c r="E477" s="36"/>
      <c r="F477" s="36"/>
      <c r="G477" s="8"/>
    </row>
    <row r="478" spans="1:7" outlineLevel="1">
      <c r="A478" s="8"/>
      <c r="B478" s="8"/>
      <c r="C478" s="21"/>
      <c r="D478" s="8"/>
      <c r="E478" s="8"/>
      <c r="F478" s="8"/>
      <c r="G478" s="8"/>
    </row>
    <row r="479" spans="1:7" outlineLevel="1">
      <c r="A479" s="8"/>
      <c r="B479" s="8"/>
      <c r="C479" s="21"/>
      <c r="D479" s="8"/>
      <c r="E479" s="8"/>
      <c r="F479" s="8"/>
      <c r="G479" s="8"/>
    </row>
    <row r="480" spans="1:7" outlineLevel="1">
      <c r="A480" s="8"/>
      <c r="B480" s="8"/>
      <c r="C480" s="21"/>
      <c r="D480" s="8"/>
      <c r="E480" s="8"/>
      <c r="F480" s="8"/>
      <c r="G480" s="8"/>
    </row>
    <row r="481" spans="1:7" outlineLevel="1">
      <c r="A481" s="8"/>
      <c r="B481" s="8"/>
      <c r="C481" s="21"/>
      <c r="D481" s="8"/>
      <c r="E481" s="8"/>
      <c r="F481" s="8"/>
      <c r="G481" s="8"/>
    </row>
    <row r="482" spans="1:7" outlineLevel="1">
      <c r="A482" s="8"/>
      <c r="B482" s="8"/>
      <c r="C482" s="21"/>
      <c r="D482" s="8"/>
      <c r="E482" s="8"/>
      <c r="F482" s="8"/>
      <c r="G482" s="8"/>
    </row>
    <row r="483" spans="1:7" outlineLevel="1">
      <c r="A483" s="8"/>
      <c r="B483" s="8"/>
      <c r="C483" s="21"/>
      <c r="D483" s="8"/>
      <c r="E483" s="8"/>
      <c r="F483" s="8"/>
      <c r="G483" s="8"/>
    </row>
    <row r="484" spans="1:7" outlineLevel="1"/>
    <row r="486" spans="1:7">
      <c r="A486" s="249" t="s">
        <v>73</v>
      </c>
      <c r="B486" s="249" t="str">
        <f>'Chart of Accounts GL'!B57</f>
        <v>Utilities Expense</v>
      </c>
      <c r="C486" s="250"/>
      <c r="D486" s="249"/>
      <c r="E486" s="249"/>
      <c r="F486" s="249" t="s">
        <v>71</v>
      </c>
      <c r="G486" s="249">
        <f>'Chart of Accounts GL'!A57</f>
        <v>709</v>
      </c>
    </row>
    <row r="487" spans="1:7" ht="15.75" outlineLevel="1" thickBot="1">
      <c r="A487" s="11"/>
      <c r="B487" s="12"/>
      <c r="C487" s="13"/>
      <c r="D487" s="14" t="s">
        <v>69</v>
      </c>
      <c r="E487" s="14"/>
      <c r="F487" s="14" t="s">
        <v>70</v>
      </c>
      <c r="G487" s="15"/>
    </row>
    <row r="488" spans="1:7" ht="30" outlineLevel="1">
      <c r="A488" s="16" t="s">
        <v>35</v>
      </c>
      <c r="B488" s="17" t="s">
        <v>68</v>
      </c>
      <c r="C488" s="18" t="s">
        <v>38</v>
      </c>
      <c r="D488" s="17" t="s">
        <v>63</v>
      </c>
      <c r="E488" s="17" t="s">
        <v>64</v>
      </c>
      <c r="F488" s="17" t="s">
        <v>63</v>
      </c>
      <c r="G488" s="19" t="s">
        <v>64</v>
      </c>
    </row>
    <row r="489" spans="1:7" outlineLevel="1">
      <c r="A489" s="35"/>
      <c r="B489" s="8"/>
      <c r="C489" s="21"/>
      <c r="D489" s="8"/>
      <c r="E489" s="8"/>
      <c r="F489" s="8"/>
      <c r="G489" s="8"/>
    </row>
    <row r="490" spans="1:7" outlineLevel="1">
      <c r="A490" s="8"/>
      <c r="B490" s="8"/>
      <c r="C490" s="21"/>
      <c r="D490" s="8"/>
      <c r="E490" s="8"/>
      <c r="F490" s="8"/>
      <c r="G490" s="8"/>
    </row>
    <row r="491" spans="1:7" outlineLevel="1">
      <c r="A491" s="8"/>
      <c r="B491" s="8"/>
      <c r="C491" s="21"/>
      <c r="D491" s="8"/>
      <c r="E491" s="8"/>
      <c r="F491" s="8"/>
      <c r="G491" s="8"/>
    </row>
    <row r="492" spans="1:7" outlineLevel="1">
      <c r="A492" s="8"/>
      <c r="B492" s="8"/>
      <c r="C492" s="21"/>
      <c r="D492" s="8"/>
      <c r="E492" s="8"/>
      <c r="F492" s="8"/>
      <c r="G492" s="8"/>
    </row>
    <row r="493" spans="1:7" outlineLevel="1">
      <c r="A493" s="8"/>
      <c r="B493" s="8"/>
      <c r="C493" s="21"/>
      <c r="D493" s="8"/>
      <c r="E493" s="8"/>
      <c r="F493" s="8"/>
      <c r="G493" s="8"/>
    </row>
    <row r="494" spans="1:7" outlineLevel="1">
      <c r="A494" s="8"/>
      <c r="B494" s="8"/>
      <c r="C494" s="21"/>
      <c r="D494" s="8"/>
      <c r="E494" s="8"/>
      <c r="F494" s="8"/>
      <c r="G494" s="8"/>
    </row>
    <row r="495" spans="1:7" outlineLevel="1">
      <c r="A495" s="8"/>
      <c r="B495" s="8"/>
      <c r="C495" s="21"/>
      <c r="D495" s="8"/>
      <c r="E495" s="8"/>
      <c r="F495" s="8"/>
      <c r="G495" s="8"/>
    </row>
    <row r="496" spans="1:7" outlineLevel="1">
      <c r="A496" s="8"/>
      <c r="B496" s="8"/>
      <c r="C496" s="21"/>
      <c r="D496" s="8"/>
      <c r="E496" s="8"/>
      <c r="F496" s="8"/>
      <c r="G496" s="8"/>
    </row>
    <row r="497" spans="1:7" outlineLevel="1"/>
    <row r="499" spans="1:7">
      <c r="A499" s="249" t="s">
        <v>73</v>
      </c>
      <c r="B499" s="249" t="str">
        <f>'Chart of Accounts GL'!B58</f>
        <v>Office Supplies Expense</v>
      </c>
      <c r="C499" s="250"/>
      <c r="D499" s="249"/>
      <c r="E499" s="249"/>
      <c r="F499" s="249" t="s">
        <v>71</v>
      </c>
      <c r="G499" s="249">
        <f>'Chart of Accounts GL'!A58</f>
        <v>710</v>
      </c>
    </row>
    <row r="500" spans="1:7" ht="15.75" outlineLevel="1" thickBot="1">
      <c r="A500" s="11"/>
      <c r="B500" s="12"/>
      <c r="C500" s="13"/>
      <c r="D500" s="14" t="s">
        <v>69</v>
      </c>
      <c r="E500" s="14"/>
      <c r="F500" s="14" t="s">
        <v>70</v>
      </c>
      <c r="G500" s="15"/>
    </row>
    <row r="501" spans="1:7" ht="30" outlineLevel="1">
      <c r="A501" s="16" t="s">
        <v>35</v>
      </c>
      <c r="B501" s="17" t="s">
        <v>68</v>
      </c>
      <c r="C501" s="18" t="s">
        <v>38</v>
      </c>
      <c r="D501" s="17" t="s">
        <v>63</v>
      </c>
      <c r="E501" s="17" t="s">
        <v>64</v>
      </c>
      <c r="F501" s="17" t="s">
        <v>63</v>
      </c>
      <c r="G501" s="19" t="s">
        <v>64</v>
      </c>
    </row>
    <row r="502" spans="1:7" outlineLevel="1">
      <c r="A502" s="35"/>
      <c r="B502" s="8"/>
      <c r="C502" s="21"/>
      <c r="D502" s="36"/>
      <c r="E502" s="36"/>
      <c r="F502" s="36"/>
      <c r="G502" s="36"/>
    </row>
    <row r="503" spans="1:7" outlineLevel="1">
      <c r="A503" s="35"/>
      <c r="B503" s="8"/>
      <c r="C503" s="21"/>
      <c r="D503" s="36"/>
      <c r="E503" s="36"/>
      <c r="F503" s="36"/>
      <c r="G503" s="36"/>
    </row>
    <row r="504" spans="1:7" outlineLevel="1">
      <c r="A504" s="8"/>
      <c r="B504" s="8"/>
      <c r="C504" s="21"/>
      <c r="D504" s="8"/>
      <c r="E504" s="8"/>
      <c r="F504" s="8"/>
      <c r="G504" s="8"/>
    </row>
    <row r="505" spans="1:7" outlineLevel="1">
      <c r="A505" s="8"/>
      <c r="B505" s="8"/>
      <c r="C505" s="21"/>
      <c r="D505" s="8"/>
      <c r="E505" s="8"/>
      <c r="F505" s="8"/>
      <c r="G505" s="8"/>
    </row>
    <row r="506" spans="1:7" outlineLevel="1">
      <c r="A506" s="8"/>
      <c r="B506" s="8"/>
      <c r="C506" s="21"/>
      <c r="D506" s="8"/>
      <c r="E506" s="8"/>
      <c r="F506" s="8"/>
      <c r="G506" s="8"/>
    </row>
    <row r="507" spans="1:7" outlineLevel="1">
      <c r="A507" s="8"/>
      <c r="B507" s="8"/>
      <c r="C507" s="21"/>
      <c r="D507" s="8"/>
      <c r="E507" s="8"/>
      <c r="F507" s="8"/>
      <c r="G507" s="8"/>
    </row>
    <row r="508" spans="1:7" outlineLevel="1">
      <c r="A508" s="8"/>
      <c r="B508" s="8"/>
      <c r="C508" s="21"/>
      <c r="D508" s="8"/>
      <c r="E508" s="8"/>
      <c r="F508" s="8"/>
      <c r="G508" s="8"/>
    </row>
    <row r="509" spans="1:7" outlineLevel="1">
      <c r="A509" s="8"/>
      <c r="B509" s="8"/>
      <c r="C509" s="21"/>
      <c r="D509" s="8"/>
      <c r="E509" s="8"/>
      <c r="F509" s="8"/>
      <c r="G509" s="8"/>
    </row>
    <row r="510" spans="1:7" outlineLevel="1"/>
    <row r="512" spans="1:7">
      <c r="A512" s="249" t="s">
        <v>73</v>
      </c>
      <c r="B512" s="249" t="str">
        <f>'Chart of Accounts GL'!B59</f>
        <v>Telecommunications Expense</v>
      </c>
      <c r="C512" s="250"/>
      <c r="D512" s="249"/>
      <c r="E512" s="249"/>
      <c r="F512" s="249" t="s">
        <v>71</v>
      </c>
      <c r="G512" s="249">
        <f>'Chart of Accounts GL'!A59</f>
        <v>711</v>
      </c>
    </row>
    <row r="513" spans="1:7" ht="15.75" outlineLevel="1" thickBot="1">
      <c r="A513" s="11"/>
      <c r="B513" s="12"/>
      <c r="C513" s="13"/>
      <c r="D513" s="14" t="s">
        <v>69</v>
      </c>
      <c r="E513" s="14"/>
      <c r="F513" s="14" t="s">
        <v>70</v>
      </c>
      <c r="G513" s="15"/>
    </row>
    <row r="514" spans="1:7" ht="30" outlineLevel="1">
      <c r="A514" s="16" t="s">
        <v>35</v>
      </c>
      <c r="B514" s="17" t="s">
        <v>68</v>
      </c>
      <c r="C514" s="18" t="s">
        <v>38</v>
      </c>
      <c r="D514" s="17" t="s">
        <v>63</v>
      </c>
      <c r="E514" s="17" t="s">
        <v>64</v>
      </c>
      <c r="F514" s="17" t="s">
        <v>63</v>
      </c>
      <c r="G514" s="19" t="s">
        <v>64</v>
      </c>
    </row>
    <row r="515" spans="1:7" outlineLevel="1">
      <c r="A515" s="35"/>
      <c r="B515" s="8"/>
      <c r="C515" s="21"/>
      <c r="D515" s="36"/>
      <c r="E515" s="36"/>
      <c r="F515" s="36"/>
      <c r="G515" s="36"/>
    </row>
    <row r="516" spans="1:7" outlineLevel="1">
      <c r="A516" s="35"/>
      <c r="B516" s="8"/>
      <c r="C516" s="21"/>
      <c r="D516" s="36"/>
      <c r="E516" s="36"/>
      <c r="F516" s="36"/>
      <c r="G516" s="36"/>
    </row>
    <row r="517" spans="1:7" outlineLevel="1">
      <c r="A517" s="8"/>
      <c r="B517" s="8"/>
      <c r="C517" s="21"/>
      <c r="D517" s="8"/>
      <c r="E517" s="8"/>
      <c r="F517" s="8"/>
      <c r="G517" s="8"/>
    </row>
    <row r="518" spans="1:7" outlineLevel="1">
      <c r="A518" s="8"/>
      <c r="B518" s="8"/>
      <c r="C518" s="21"/>
      <c r="D518" s="8"/>
      <c r="E518" s="8"/>
      <c r="F518" s="8"/>
      <c r="G518" s="8"/>
    </row>
    <row r="519" spans="1:7" outlineLevel="1">
      <c r="A519" s="8"/>
      <c r="B519" s="8"/>
      <c r="C519" s="21"/>
      <c r="D519" s="8"/>
      <c r="E519" s="8"/>
      <c r="F519" s="8"/>
      <c r="G519" s="8"/>
    </row>
    <row r="520" spans="1:7" outlineLevel="1">
      <c r="A520" s="8"/>
      <c r="B520" s="8"/>
      <c r="C520" s="21"/>
      <c r="D520" s="8"/>
      <c r="E520" s="8"/>
      <c r="F520" s="8"/>
      <c r="G520" s="8"/>
    </row>
    <row r="521" spans="1:7" outlineLevel="1">
      <c r="A521" s="8"/>
      <c r="B521" s="8"/>
      <c r="C521" s="21"/>
      <c r="D521" s="8"/>
      <c r="E521" s="8"/>
      <c r="F521" s="8"/>
      <c r="G521" s="8"/>
    </row>
    <row r="522" spans="1:7" outlineLevel="1">
      <c r="A522" s="8"/>
      <c r="B522" s="8"/>
      <c r="C522" s="21"/>
      <c r="D522" s="8"/>
      <c r="E522" s="8"/>
      <c r="F522" s="8"/>
      <c r="G522" s="8"/>
    </row>
    <row r="523" spans="1:7">
      <c r="A523" s="20"/>
      <c r="B523" s="20"/>
      <c r="C523" s="39"/>
      <c r="D523" s="20"/>
      <c r="E523" s="20"/>
      <c r="F523" s="20"/>
      <c r="G523" s="20"/>
    </row>
    <row r="524" spans="1:7">
      <c r="A524" s="249" t="s">
        <v>73</v>
      </c>
      <c r="B524" s="249" t="str">
        <f>'Chart of Accounts GL'!B60</f>
        <v>Depreciation Expense -  Equip &amp; Furniture - Warehouse</v>
      </c>
      <c r="C524" s="250"/>
      <c r="D524" s="249"/>
      <c r="E524" s="249"/>
      <c r="F524" s="249" t="s">
        <v>71</v>
      </c>
      <c r="G524" s="249">
        <f>'Chart of Accounts GL'!A60</f>
        <v>712</v>
      </c>
    </row>
    <row r="525" spans="1:7" ht="15.75" outlineLevel="1" thickBot="1">
      <c r="A525" s="11"/>
      <c r="B525" s="12"/>
      <c r="C525" s="13"/>
      <c r="D525" s="14" t="s">
        <v>69</v>
      </c>
      <c r="E525" s="14"/>
      <c r="F525" s="14" t="s">
        <v>70</v>
      </c>
      <c r="G525" s="15"/>
    </row>
    <row r="526" spans="1:7" ht="30" outlineLevel="1">
      <c r="A526" s="16" t="s">
        <v>35</v>
      </c>
      <c r="B526" s="17" t="s">
        <v>68</v>
      </c>
      <c r="C526" s="18" t="s">
        <v>38</v>
      </c>
      <c r="D526" s="17" t="s">
        <v>63</v>
      </c>
      <c r="E526" s="17" t="s">
        <v>64</v>
      </c>
      <c r="F526" s="17" t="s">
        <v>63</v>
      </c>
      <c r="G526" s="19" t="s">
        <v>64</v>
      </c>
    </row>
    <row r="527" spans="1:7" outlineLevel="1">
      <c r="A527" s="35"/>
      <c r="B527" s="8"/>
      <c r="C527" s="21"/>
      <c r="D527" s="36"/>
      <c r="E527" s="36"/>
      <c r="F527" s="36"/>
      <c r="G527" s="36"/>
    </row>
    <row r="528" spans="1:7" outlineLevel="1">
      <c r="A528" s="35"/>
      <c r="B528" s="8"/>
      <c r="C528" s="21"/>
      <c r="D528" s="36"/>
      <c r="E528" s="36"/>
      <c r="F528" s="36"/>
      <c r="G528" s="36"/>
    </row>
    <row r="529" spans="1:7" outlineLevel="1">
      <c r="A529" s="8"/>
      <c r="B529" s="8"/>
      <c r="C529" s="21"/>
      <c r="D529" s="8"/>
      <c r="E529" s="8"/>
      <c r="F529" s="8"/>
      <c r="G529" s="8"/>
    </row>
    <row r="530" spans="1:7" outlineLevel="1">
      <c r="A530" s="8"/>
      <c r="B530" s="8"/>
      <c r="C530" s="21"/>
      <c r="D530" s="8"/>
      <c r="E530" s="8"/>
      <c r="F530" s="8"/>
      <c r="G530" s="8"/>
    </row>
    <row r="531" spans="1:7" outlineLevel="1">
      <c r="A531" s="8"/>
      <c r="B531" s="8"/>
      <c r="C531" s="21"/>
      <c r="D531" s="8"/>
      <c r="E531" s="8"/>
      <c r="F531" s="8"/>
      <c r="G531" s="8"/>
    </row>
    <row r="532" spans="1:7" outlineLevel="1">
      <c r="A532" s="8"/>
      <c r="B532" s="8"/>
      <c r="C532" s="21"/>
      <c r="D532" s="8"/>
      <c r="E532" s="8"/>
      <c r="F532" s="8"/>
      <c r="G532" s="8"/>
    </row>
    <row r="533" spans="1:7" outlineLevel="1">
      <c r="A533" s="8"/>
      <c r="B533" s="8"/>
      <c r="C533" s="21"/>
      <c r="D533" s="8"/>
      <c r="E533" s="8"/>
      <c r="F533" s="8"/>
      <c r="G533" s="8"/>
    </row>
    <row r="534" spans="1:7" outlineLevel="1">
      <c r="A534" s="8"/>
      <c r="B534" s="8"/>
      <c r="C534" s="21"/>
      <c r="D534" s="8"/>
      <c r="E534" s="8"/>
      <c r="F534" s="8"/>
      <c r="G534" s="8"/>
    </row>
    <row r="535" spans="1:7">
      <c r="A535" s="20"/>
      <c r="B535" s="20"/>
      <c r="C535" s="39"/>
      <c r="D535" s="20"/>
      <c r="E535" s="20"/>
      <c r="F535" s="20"/>
      <c r="G535" s="20"/>
    </row>
    <row r="536" spans="1:7">
      <c r="A536" s="249" t="s">
        <v>73</v>
      </c>
      <c r="B536" s="249" t="str">
        <f>'Chart of Accounts GL'!B61</f>
        <v>Depreciation Expense - Equip &amp; Furniture - Office</v>
      </c>
      <c r="C536" s="250"/>
      <c r="D536" s="249"/>
      <c r="E536" s="249"/>
      <c r="F536" s="249" t="s">
        <v>71</v>
      </c>
      <c r="G536" s="249">
        <f>'Chart of Accounts GL'!A61</f>
        <v>713</v>
      </c>
    </row>
    <row r="537" spans="1:7" ht="15.75" outlineLevel="1" thickBot="1">
      <c r="A537" s="11"/>
      <c r="B537" s="12"/>
      <c r="C537" s="13"/>
      <c r="D537" s="14" t="s">
        <v>69</v>
      </c>
      <c r="E537" s="14"/>
      <c r="F537" s="14" t="s">
        <v>70</v>
      </c>
      <c r="G537" s="15"/>
    </row>
    <row r="538" spans="1:7" ht="30" outlineLevel="1">
      <c r="A538" s="16" t="s">
        <v>35</v>
      </c>
      <c r="B538" s="17" t="s">
        <v>68</v>
      </c>
      <c r="C538" s="18" t="s">
        <v>38</v>
      </c>
      <c r="D538" s="17" t="s">
        <v>63</v>
      </c>
      <c r="E538" s="17" t="s">
        <v>64</v>
      </c>
      <c r="F538" s="17" t="s">
        <v>63</v>
      </c>
      <c r="G538" s="19" t="s">
        <v>64</v>
      </c>
    </row>
    <row r="539" spans="1:7" outlineLevel="1">
      <c r="A539" s="35"/>
      <c r="B539" s="8"/>
      <c r="C539" s="21"/>
      <c r="D539" s="36"/>
      <c r="E539" s="36"/>
      <c r="F539" s="36"/>
      <c r="G539" s="36"/>
    </row>
    <row r="540" spans="1:7" outlineLevel="1">
      <c r="A540" s="35"/>
      <c r="B540" s="8"/>
      <c r="C540" s="21"/>
      <c r="D540" s="36"/>
      <c r="E540" s="36"/>
      <c r="F540" s="36"/>
      <c r="G540" s="36"/>
    </row>
    <row r="541" spans="1:7" outlineLevel="1">
      <c r="A541" s="8"/>
      <c r="B541" s="8"/>
      <c r="C541" s="21"/>
      <c r="D541" s="8"/>
      <c r="E541" s="8"/>
      <c r="F541" s="8"/>
      <c r="G541" s="8"/>
    </row>
    <row r="542" spans="1:7" outlineLevel="1">
      <c r="A542" s="8"/>
      <c r="B542" s="8"/>
      <c r="C542" s="21"/>
      <c r="D542" s="8"/>
      <c r="E542" s="8"/>
      <c r="F542" s="8"/>
      <c r="G542" s="8"/>
    </row>
    <row r="543" spans="1:7" outlineLevel="1">
      <c r="A543" s="8"/>
      <c r="B543" s="8"/>
      <c r="C543" s="21"/>
      <c r="D543" s="8"/>
      <c r="E543" s="8"/>
      <c r="F543" s="8"/>
      <c r="G543" s="8"/>
    </row>
    <row r="544" spans="1:7" outlineLevel="1">
      <c r="A544" s="8"/>
      <c r="B544" s="8"/>
      <c r="C544" s="21"/>
      <c r="D544" s="8"/>
      <c r="E544" s="8"/>
      <c r="F544" s="8"/>
      <c r="G544" s="8"/>
    </row>
    <row r="545" spans="1:7" outlineLevel="1">
      <c r="A545" s="8"/>
      <c r="B545" s="8"/>
      <c r="C545" s="21"/>
      <c r="D545" s="8"/>
      <c r="E545" s="8"/>
      <c r="F545" s="8"/>
      <c r="G545" s="8"/>
    </row>
    <row r="546" spans="1:7" outlineLevel="1">
      <c r="A546" s="8"/>
      <c r="B546" s="8"/>
      <c r="C546" s="21"/>
      <c r="D546" s="8"/>
      <c r="E546" s="8"/>
      <c r="F546" s="8"/>
      <c r="G546" s="8"/>
    </row>
    <row r="547" spans="1:7">
      <c r="A547" s="20"/>
      <c r="B547" s="20"/>
      <c r="C547" s="39"/>
      <c r="D547" s="20"/>
      <c r="E547" s="20"/>
      <c r="F547" s="20"/>
      <c r="G547" s="20"/>
    </row>
    <row r="548" spans="1:7">
      <c r="A548" s="249" t="s">
        <v>73</v>
      </c>
      <c r="B548" s="249" t="str">
        <f>'Chart of Accounts GL'!B63</f>
        <v>Rent Income</v>
      </c>
      <c r="C548" s="250"/>
      <c r="D548" s="249"/>
      <c r="E548" s="249"/>
      <c r="F548" s="249" t="s">
        <v>71</v>
      </c>
      <c r="G548" s="249">
        <f>'Chart of Accounts GL'!A63</f>
        <v>800</v>
      </c>
    </row>
    <row r="549" spans="1:7" ht="15.75" outlineLevel="1" thickBot="1">
      <c r="A549" s="11"/>
      <c r="B549" s="12"/>
      <c r="C549" s="13"/>
      <c r="D549" s="14" t="s">
        <v>69</v>
      </c>
      <c r="E549" s="14"/>
      <c r="F549" s="14" t="s">
        <v>70</v>
      </c>
      <c r="G549" s="15"/>
    </row>
    <row r="550" spans="1:7" ht="30" outlineLevel="1">
      <c r="A550" s="16" t="s">
        <v>35</v>
      </c>
      <c r="B550" s="17" t="s">
        <v>68</v>
      </c>
      <c r="C550" s="18" t="s">
        <v>38</v>
      </c>
      <c r="D550" s="17" t="s">
        <v>63</v>
      </c>
      <c r="E550" s="17" t="s">
        <v>64</v>
      </c>
      <c r="F550" s="17" t="s">
        <v>63</v>
      </c>
      <c r="G550" s="19" t="s">
        <v>64</v>
      </c>
    </row>
    <row r="551" spans="1:7" outlineLevel="1">
      <c r="A551" s="35"/>
      <c r="B551" s="8"/>
      <c r="C551" s="21"/>
      <c r="D551" s="36"/>
      <c r="E551" s="36"/>
      <c r="F551" s="36"/>
      <c r="G551" s="36"/>
    </row>
    <row r="552" spans="1:7" outlineLevel="1">
      <c r="A552" s="35"/>
      <c r="B552" s="8"/>
      <c r="C552" s="21"/>
      <c r="D552" s="36"/>
      <c r="E552" s="36"/>
      <c r="F552" s="36"/>
      <c r="G552" s="36"/>
    </row>
    <row r="553" spans="1:7" outlineLevel="1">
      <c r="A553" s="8"/>
      <c r="B553" s="8"/>
      <c r="C553" s="21"/>
      <c r="D553" s="8"/>
      <c r="E553" s="8"/>
      <c r="F553" s="8"/>
      <c r="G553" s="8"/>
    </row>
    <row r="554" spans="1:7" outlineLevel="1">
      <c r="A554" s="8"/>
      <c r="B554" s="8"/>
      <c r="C554" s="21"/>
      <c r="D554" s="8"/>
      <c r="E554" s="8"/>
      <c r="F554" s="8"/>
      <c r="G554" s="8"/>
    </row>
    <row r="555" spans="1:7" outlineLevel="1">
      <c r="A555" s="8"/>
      <c r="B555" s="8"/>
      <c r="C555" s="21"/>
      <c r="D555" s="8"/>
      <c r="E555" s="8"/>
      <c r="F555" s="8"/>
      <c r="G555" s="8"/>
    </row>
    <row r="556" spans="1:7" outlineLevel="1">
      <c r="A556" s="8"/>
      <c r="B556" s="8"/>
      <c r="C556" s="21"/>
      <c r="D556" s="8"/>
      <c r="E556" s="8"/>
      <c r="F556" s="8"/>
      <c r="G556" s="8"/>
    </row>
    <row r="557" spans="1:7" outlineLevel="1">
      <c r="A557" s="8"/>
      <c r="B557" s="8"/>
      <c r="C557" s="21"/>
      <c r="D557" s="8"/>
      <c r="E557" s="8"/>
      <c r="F557" s="8"/>
      <c r="G557" s="8"/>
    </row>
    <row r="558" spans="1:7" outlineLevel="1">
      <c r="A558" s="8"/>
      <c r="B558" s="8"/>
      <c r="C558" s="21"/>
      <c r="D558" s="8"/>
      <c r="E558" s="8"/>
      <c r="F558" s="8"/>
      <c r="G558" s="8"/>
    </row>
    <row r="560" spans="1:7">
      <c r="A560" s="249" t="s">
        <v>73</v>
      </c>
      <c r="B560" s="249" t="str">
        <f>'Chart of Accounts GL'!B65</f>
        <v>Interest Expense</v>
      </c>
      <c r="C560" s="250"/>
      <c r="D560" s="249"/>
      <c r="E560" s="249"/>
      <c r="F560" s="249" t="s">
        <v>71</v>
      </c>
      <c r="G560" s="249">
        <f>'Chart of Accounts GL'!A65</f>
        <v>900</v>
      </c>
    </row>
    <row r="561" spans="1:7" ht="15.75" outlineLevel="1" thickBot="1">
      <c r="A561" s="11"/>
      <c r="B561" s="12"/>
      <c r="C561" s="13"/>
      <c r="D561" s="14" t="s">
        <v>69</v>
      </c>
      <c r="E561" s="14"/>
      <c r="F561" s="14" t="s">
        <v>70</v>
      </c>
      <c r="G561" s="15"/>
    </row>
    <row r="562" spans="1:7" ht="30" outlineLevel="1">
      <c r="A562" s="16" t="s">
        <v>35</v>
      </c>
      <c r="B562" s="17" t="s">
        <v>68</v>
      </c>
      <c r="C562" s="18" t="s">
        <v>38</v>
      </c>
      <c r="D562" s="17" t="s">
        <v>63</v>
      </c>
      <c r="E562" s="17" t="s">
        <v>64</v>
      </c>
      <c r="F562" s="17" t="s">
        <v>63</v>
      </c>
      <c r="G562" s="19" t="s">
        <v>64</v>
      </c>
    </row>
    <row r="563" spans="1:7" outlineLevel="1">
      <c r="A563" s="35"/>
      <c r="B563" s="8"/>
      <c r="C563" s="21"/>
      <c r="D563" s="36"/>
      <c r="E563" s="36"/>
      <c r="F563" s="36"/>
      <c r="G563" s="36"/>
    </row>
    <row r="564" spans="1:7" outlineLevel="1">
      <c r="A564" s="35"/>
      <c r="B564" s="8"/>
      <c r="C564" s="21"/>
      <c r="D564" s="36"/>
      <c r="E564" s="36"/>
      <c r="F564" s="36"/>
      <c r="G564" s="36"/>
    </row>
    <row r="565" spans="1:7" outlineLevel="1">
      <c r="A565" s="35"/>
      <c r="B565" s="8"/>
      <c r="C565" s="21"/>
      <c r="D565" s="36"/>
      <c r="E565" s="36"/>
      <c r="F565" s="36"/>
      <c r="G565" s="36"/>
    </row>
    <row r="566" spans="1:7" outlineLevel="1">
      <c r="A566" s="8"/>
      <c r="B566" s="8"/>
      <c r="C566" s="21"/>
      <c r="D566" s="8"/>
      <c r="E566" s="8"/>
      <c r="F566" s="8"/>
      <c r="G566" s="8"/>
    </row>
    <row r="567" spans="1:7" outlineLevel="1">
      <c r="A567" s="8"/>
      <c r="B567" s="8"/>
      <c r="C567" s="21"/>
      <c r="D567" s="8"/>
      <c r="E567" s="8"/>
      <c r="F567" s="8"/>
      <c r="G567" s="8"/>
    </row>
    <row r="568" spans="1:7" outlineLevel="1">
      <c r="A568" s="8"/>
      <c r="B568" s="8"/>
      <c r="C568" s="21"/>
      <c r="D568" s="8"/>
      <c r="E568" s="8"/>
      <c r="F568" s="8"/>
      <c r="G568" s="8"/>
    </row>
    <row r="569" spans="1:7" outlineLevel="1">
      <c r="A569" s="8"/>
      <c r="B569" s="8"/>
      <c r="C569" s="21"/>
      <c r="D569" s="8"/>
      <c r="E569" s="8"/>
      <c r="F569" s="8"/>
      <c r="G569" s="8"/>
    </row>
    <row r="570" spans="1:7" outlineLevel="1">
      <c r="A570" s="8"/>
      <c r="B570" s="8"/>
      <c r="C570" s="21"/>
      <c r="D570" s="8"/>
      <c r="E570" s="8"/>
      <c r="F570" s="8"/>
      <c r="G570" s="8"/>
    </row>
    <row r="572" spans="1:7">
      <c r="A572" s="249" t="s">
        <v>73</v>
      </c>
      <c r="B572" s="249" t="str">
        <f>'Chart of Accounts GL'!B67</f>
        <v>Income Summary</v>
      </c>
      <c r="C572" s="250"/>
      <c r="D572" s="249"/>
      <c r="E572" s="249"/>
      <c r="F572" s="249" t="s">
        <v>71</v>
      </c>
      <c r="G572" s="249">
        <f>'Chart of Accounts GL'!A67</f>
        <v>1000</v>
      </c>
    </row>
    <row r="573" spans="1:7" ht="15.75" outlineLevel="1" thickBot="1">
      <c r="A573" s="11"/>
      <c r="B573" s="12"/>
      <c r="C573" s="13"/>
      <c r="D573" s="14" t="s">
        <v>69</v>
      </c>
      <c r="E573" s="14"/>
      <c r="F573" s="14" t="s">
        <v>70</v>
      </c>
      <c r="G573" s="15"/>
    </row>
    <row r="574" spans="1:7" ht="30" outlineLevel="1">
      <c r="A574" s="16" t="s">
        <v>35</v>
      </c>
      <c r="B574" s="17" t="s">
        <v>68</v>
      </c>
      <c r="C574" s="18" t="s">
        <v>38</v>
      </c>
      <c r="D574" s="17" t="s">
        <v>63</v>
      </c>
      <c r="E574" s="17" t="s">
        <v>64</v>
      </c>
      <c r="F574" s="17" t="s">
        <v>63</v>
      </c>
      <c r="G574" s="19" t="s">
        <v>64</v>
      </c>
    </row>
    <row r="575" spans="1:7" outlineLevel="1">
      <c r="A575" s="35"/>
      <c r="B575" s="8"/>
      <c r="C575" s="21"/>
      <c r="D575" s="36"/>
      <c r="E575" s="36"/>
      <c r="F575" s="36"/>
      <c r="G575" s="36"/>
    </row>
    <row r="576" spans="1:7" outlineLevel="1">
      <c r="A576" s="35"/>
      <c r="B576" s="8"/>
      <c r="C576" s="21"/>
      <c r="D576" s="36"/>
      <c r="E576" s="36"/>
      <c r="F576" s="36"/>
      <c r="G576" s="36"/>
    </row>
    <row r="577" spans="1:7" outlineLevel="1">
      <c r="A577" s="35"/>
      <c r="B577" s="8"/>
      <c r="C577" s="21"/>
      <c r="D577" s="36"/>
      <c r="E577" s="36"/>
      <c r="F577" s="36"/>
      <c r="G577" s="36"/>
    </row>
    <row r="578" spans="1:7" outlineLevel="1">
      <c r="A578" s="8"/>
      <c r="B578" s="8"/>
      <c r="C578" s="21"/>
      <c r="D578" s="8"/>
      <c r="E578" s="8"/>
      <c r="F578" s="8"/>
      <c r="G578" s="8"/>
    </row>
    <row r="579" spans="1:7" outlineLevel="1">
      <c r="A579" s="8"/>
      <c r="B579" s="8"/>
      <c r="C579" s="21"/>
      <c r="D579" s="8"/>
      <c r="E579" s="8"/>
      <c r="F579" s="8"/>
      <c r="G579" s="8"/>
    </row>
    <row r="580" spans="1:7" outlineLevel="1">
      <c r="A580" s="8"/>
      <c r="B580" s="8"/>
      <c r="C580" s="21"/>
      <c r="D580" s="8"/>
      <c r="E580" s="8"/>
      <c r="F580" s="8"/>
      <c r="G580" s="8"/>
    </row>
    <row r="581" spans="1:7" outlineLevel="1">
      <c r="A581" s="8"/>
      <c r="B581" s="8"/>
      <c r="C581" s="21"/>
      <c r="D581" s="8"/>
      <c r="E581" s="8"/>
      <c r="F581" s="8"/>
      <c r="G581" s="8"/>
    </row>
    <row r="582" spans="1:7" outlineLevel="1">
      <c r="A582" s="8"/>
      <c r="B582" s="8"/>
      <c r="C582" s="21"/>
      <c r="D582" s="8"/>
      <c r="E582" s="8"/>
      <c r="F582" s="8"/>
      <c r="G582" s="8"/>
    </row>
  </sheetData>
  <protectedRanges>
    <protectedRange sqref="A5:G11 A18:G24 A31:G37 A43:G51 A57:G64 A70:G76 A83:G89 A96:G102 A109:G115 A122:G128 A135:G141 A148:G154 A161:G167 A174:G179 A185:G266 A272:G278 A285:G291 A297:G303 A308:G582" name="Range1"/>
  </protectedRanges>
  <pageMargins left="0.7" right="0.7" top="0.75" bottom="0.75" header="0.3" footer="0.3"/>
  <pageSetup scale="90" fitToHeight="15" orientation="portrait"/>
  <rowBreaks count="13" manualBreakCount="13">
    <brk id="37" max="16383" man="1"/>
    <brk id="76" max="16383" man="1"/>
    <brk id="141" max="16383" man="1"/>
    <brk id="179" max="16383" man="1"/>
    <brk id="218" max="16383" man="1"/>
    <brk id="278" max="16383" man="1"/>
    <brk id="315" max="16383" man="1"/>
    <brk id="353" max="16383" man="1"/>
    <brk id="392" max="16383" man="1"/>
    <brk id="431" max="16383" man="1"/>
    <brk id="470" max="16383" man="1"/>
    <brk id="509" max="16383" man="1"/>
    <brk id="546" max="16383" man="1"/>
  </rowBreak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sheetPr codeName="Sheet16"/>
  <dimension ref="A1:F76"/>
  <sheetViews>
    <sheetView zoomScale="90" zoomScaleNormal="90" zoomScalePageLayoutView="90" workbookViewId="0">
      <selection activeCell="E17" sqref="E17"/>
    </sheetView>
  </sheetViews>
  <sheetFormatPr defaultColWidth="8.85546875" defaultRowHeight="15"/>
  <cols>
    <col min="1" max="1" width="12" style="86" customWidth="1"/>
    <col min="2" max="2" width="7.42578125" style="173" customWidth="1"/>
    <col min="3" max="6" width="15.42578125" style="86" customWidth="1"/>
    <col min="7" max="16384" width="8.85546875" style="86"/>
  </cols>
  <sheetData>
    <row r="1" spans="1:6">
      <c r="A1" s="86" t="s">
        <v>72</v>
      </c>
      <c r="B1" s="347" t="str">
        <f>'Chart of Accounts AR Ledger'!B5</f>
        <v>General Motors</v>
      </c>
      <c r="C1" s="348"/>
    </row>
    <row r="2" spans="1:6" ht="15.75" thickBot="1">
      <c r="A2" s="183"/>
      <c r="B2" s="184"/>
      <c r="C2" s="185" t="s">
        <v>69</v>
      </c>
      <c r="D2" s="185"/>
      <c r="E2" s="185" t="s">
        <v>70</v>
      </c>
      <c r="F2" s="186"/>
    </row>
    <row r="3" spans="1:6" s="182" customFormat="1" ht="30">
      <c r="A3" s="187" t="s">
        <v>35</v>
      </c>
      <c r="B3" s="188" t="s">
        <v>38</v>
      </c>
      <c r="C3" s="131" t="s">
        <v>63</v>
      </c>
      <c r="D3" s="131" t="s">
        <v>64</v>
      </c>
      <c r="E3" s="131" t="s">
        <v>63</v>
      </c>
      <c r="F3" s="189" t="s">
        <v>64</v>
      </c>
    </row>
    <row r="4" spans="1:6">
      <c r="A4" s="177">
        <v>40329</v>
      </c>
      <c r="B4" s="139"/>
      <c r="C4" s="138"/>
      <c r="D4" s="138"/>
      <c r="E4" s="138">
        <v>5000</v>
      </c>
      <c r="F4" s="138"/>
    </row>
    <row r="5" spans="1:6">
      <c r="A5" s="177"/>
      <c r="B5" s="139"/>
      <c r="C5" s="118"/>
      <c r="D5" s="140"/>
      <c r="E5" s="140"/>
      <c r="F5" s="118"/>
    </row>
    <row r="6" spans="1:6">
      <c r="A6" s="177"/>
      <c r="B6" s="139"/>
      <c r="C6" s="118"/>
      <c r="D6" s="118"/>
      <c r="E6" s="118"/>
      <c r="F6" s="118"/>
    </row>
    <row r="7" spans="1:6">
      <c r="A7" s="118"/>
      <c r="B7" s="139"/>
      <c r="C7" s="118"/>
      <c r="D7" s="118"/>
      <c r="E7" s="118"/>
      <c r="F7" s="118"/>
    </row>
    <row r="8" spans="1:6">
      <c r="A8" s="118"/>
      <c r="B8" s="139"/>
      <c r="C8" s="118"/>
      <c r="D8" s="118"/>
      <c r="E8" s="118"/>
      <c r="F8" s="118"/>
    </row>
    <row r="9" spans="1:6">
      <c r="A9" s="118"/>
      <c r="B9" s="139"/>
      <c r="C9" s="118"/>
      <c r="D9" s="118"/>
      <c r="E9" s="118"/>
      <c r="F9" s="118"/>
    </row>
    <row r="10" spans="1:6">
      <c r="A10" s="118"/>
      <c r="B10" s="139"/>
      <c r="C10" s="118"/>
      <c r="D10" s="118"/>
      <c r="E10" s="118"/>
      <c r="F10" s="118"/>
    </row>
    <row r="11" spans="1:6">
      <c r="A11" s="118"/>
      <c r="B11" s="139"/>
      <c r="C11" s="118"/>
      <c r="D11" s="118"/>
      <c r="E11" s="118"/>
      <c r="F11" s="118"/>
    </row>
    <row r="14" spans="1:6">
      <c r="A14" s="86" t="s">
        <v>73</v>
      </c>
      <c r="B14" s="347" t="str">
        <f>'Chart of Accounts AR Ledger'!B6</f>
        <v>Ford Motor Co.</v>
      </c>
      <c r="C14" s="348"/>
      <c r="D14" s="348"/>
    </row>
    <row r="15" spans="1:6" ht="15.75" thickBot="1">
      <c r="A15" s="183"/>
      <c r="B15" s="184"/>
      <c r="C15" s="185" t="s">
        <v>69</v>
      </c>
      <c r="D15" s="185"/>
      <c r="E15" s="185" t="s">
        <v>70</v>
      </c>
      <c r="F15" s="186"/>
    </row>
    <row r="16" spans="1:6" ht="30">
      <c r="A16" s="187" t="s">
        <v>35</v>
      </c>
      <c r="B16" s="188" t="s">
        <v>38</v>
      </c>
      <c r="C16" s="131" t="s">
        <v>63</v>
      </c>
      <c r="D16" s="131" t="s">
        <v>64</v>
      </c>
      <c r="E16" s="131" t="s">
        <v>63</v>
      </c>
      <c r="F16" s="189" t="s">
        <v>64</v>
      </c>
    </row>
    <row r="17" spans="1:6">
      <c r="A17" s="177">
        <v>40303</v>
      </c>
      <c r="B17" s="139"/>
      <c r="C17" s="138">
        <v>300000</v>
      </c>
      <c r="D17" s="138"/>
      <c r="E17" s="138">
        <f>C17</f>
        <v>300000</v>
      </c>
      <c r="F17" s="118"/>
    </row>
    <row r="18" spans="1:6">
      <c r="A18" s="177"/>
      <c r="B18" s="139"/>
      <c r="C18" s="140"/>
      <c r="D18" s="179"/>
      <c r="E18" s="140"/>
      <c r="F18" s="118"/>
    </row>
    <row r="19" spans="1:6">
      <c r="A19" s="177"/>
      <c r="B19" s="139"/>
      <c r="C19" s="140"/>
      <c r="D19" s="179"/>
      <c r="E19" s="140"/>
      <c r="F19" s="118"/>
    </row>
    <row r="20" spans="1:6">
      <c r="A20" s="118"/>
      <c r="B20" s="139"/>
      <c r="C20" s="118"/>
      <c r="D20" s="118"/>
      <c r="E20" s="118"/>
      <c r="F20" s="118"/>
    </row>
    <row r="21" spans="1:6">
      <c r="A21" s="118"/>
      <c r="B21" s="139"/>
      <c r="C21" s="118"/>
      <c r="D21" s="118"/>
      <c r="E21" s="118"/>
      <c r="F21" s="118"/>
    </row>
    <row r="22" spans="1:6">
      <c r="A22" s="118"/>
      <c r="B22" s="139"/>
      <c r="C22" s="118"/>
      <c r="D22" s="118"/>
      <c r="E22" s="118"/>
      <c r="F22" s="118"/>
    </row>
    <row r="23" spans="1:6">
      <c r="A23" s="118"/>
      <c r="B23" s="139"/>
      <c r="C23" s="118"/>
      <c r="D23" s="118"/>
      <c r="E23" s="118"/>
      <c r="F23" s="118"/>
    </row>
    <row r="24" spans="1:6">
      <c r="A24" s="118"/>
      <c r="B24" s="139"/>
      <c r="C24" s="118"/>
      <c r="D24" s="118"/>
      <c r="E24" s="118"/>
      <c r="F24" s="118"/>
    </row>
    <row r="27" spans="1:6">
      <c r="A27" s="86" t="s">
        <v>73</v>
      </c>
      <c r="B27" s="347" t="str">
        <f>'Chart of Accounts AR Ledger'!B7</f>
        <v>Toyota</v>
      </c>
      <c r="C27" s="348"/>
      <c r="D27" s="348"/>
    </row>
    <row r="28" spans="1:6" ht="15.75" thickBot="1">
      <c r="A28" s="183"/>
      <c r="B28" s="184"/>
      <c r="C28" s="185" t="s">
        <v>69</v>
      </c>
      <c r="D28" s="185"/>
      <c r="E28" s="185" t="s">
        <v>70</v>
      </c>
      <c r="F28" s="186"/>
    </row>
    <row r="29" spans="1:6" ht="30">
      <c r="A29" s="187" t="s">
        <v>35</v>
      </c>
      <c r="B29" s="188" t="s">
        <v>38</v>
      </c>
      <c r="C29" s="131" t="s">
        <v>63</v>
      </c>
      <c r="D29" s="131" t="s">
        <v>64</v>
      </c>
      <c r="E29" s="131" t="s">
        <v>63</v>
      </c>
      <c r="F29" s="189" t="s">
        <v>64</v>
      </c>
    </row>
    <row r="30" spans="1:6">
      <c r="A30" s="177">
        <v>40309</v>
      </c>
      <c r="B30" s="139"/>
      <c r="C30" s="138">
        <f>Data!G9</f>
        <v>185000</v>
      </c>
      <c r="D30" s="138"/>
      <c r="E30" s="138">
        <f>C30</f>
        <v>185000</v>
      </c>
      <c r="F30" s="118"/>
    </row>
    <row r="31" spans="1:6">
      <c r="A31" s="177"/>
      <c r="B31" s="190"/>
      <c r="C31" s="138"/>
      <c r="D31" s="138"/>
      <c r="E31" s="138"/>
      <c r="F31" s="179"/>
    </row>
    <row r="32" spans="1:6">
      <c r="A32" s="177"/>
      <c r="B32" s="190"/>
      <c r="C32" s="179"/>
      <c r="D32" s="138"/>
      <c r="E32" s="138"/>
      <c r="F32" s="179"/>
    </row>
    <row r="33" spans="1:6">
      <c r="A33" s="177"/>
      <c r="B33" s="190"/>
      <c r="C33" s="179"/>
      <c r="D33" s="179"/>
      <c r="E33" s="138"/>
      <c r="F33" s="179"/>
    </row>
    <row r="34" spans="1:6">
      <c r="A34" s="179"/>
      <c r="B34" s="190"/>
      <c r="C34" s="179"/>
      <c r="D34" s="179"/>
      <c r="E34" s="179"/>
      <c r="F34" s="179"/>
    </row>
    <row r="35" spans="1:6">
      <c r="A35" s="118"/>
      <c r="B35" s="139"/>
      <c r="C35" s="118"/>
      <c r="D35" s="118"/>
      <c r="E35" s="118"/>
      <c r="F35" s="118"/>
    </row>
    <row r="36" spans="1:6">
      <c r="A36" s="118"/>
      <c r="B36" s="139"/>
      <c r="C36" s="118"/>
      <c r="D36" s="118"/>
      <c r="E36" s="118"/>
      <c r="F36" s="118"/>
    </row>
    <row r="37" spans="1:6">
      <c r="A37" s="118"/>
      <c r="B37" s="139"/>
      <c r="C37" s="118"/>
      <c r="D37" s="118"/>
      <c r="E37" s="118"/>
      <c r="F37" s="118"/>
    </row>
    <row r="40" spans="1:6">
      <c r="A40" s="86" t="s">
        <v>73</v>
      </c>
      <c r="B40" s="347" t="str">
        <f>'Chart of Accounts AR Ledger'!B8</f>
        <v>Honda</v>
      </c>
      <c r="C40" s="348"/>
      <c r="D40" s="348"/>
    </row>
    <row r="41" spans="1:6" ht="15.75" thickBot="1">
      <c r="A41" s="183"/>
      <c r="B41" s="184"/>
      <c r="C41" s="185" t="s">
        <v>69</v>
      </c>
      <c r="D41" s="185"/>
      <c r="E41" s="185" t="s">
        <v>70</v>
      </c>
      <c r="F41" s="186"/>
    </row>
    <row r="42" spans="1:6" ht="30">
      <c r="A42" s="187" t="s">
        <v>35</v>
      </c>
      <c r="B42" s="188" t="s">
        <v>38</v>
      </c>
      <c r="C42" s="131" t="s">
        <v>63</v>
      </c>
      <c r="D42" s="131" t="s">
        <v>64</v>
      </c>
      <c r="E42" s="131" t="s">
        <v>63</v>
      </c>
      <c r="F42" s="189" t="s">
        <v>64</v>
      </c>
    </row>
    <row r="43" spans="1:6">
      <c r="A43" s="177"/>
      <c r="B43" s="139"/>
      <c r="C43" s="179"/>
      <c r="D43" s="179"/>
      <c r="E43" s="179"/>
      <c r="F43" s="179"/>
    </row>
    <row r="44" spans="1:6">
      <c r="A44" s="177"/>
      <c r="B44" s="139"/>
      <c r="C44" s="179"/>
      <c r="D44" s="179"/>
      <c r="E44" s="179"/>
      <c r="F44" s="179"/>
    </row>
    <row r="45" spans="1:6">
      <c r="A45" s="177"/>
      <c r="B45" s="139"/>
      <c r="C45" s="179"/>
      <c r="D45" s="179"/>
      <c r="E45" s="179"/>
      <c r="F45" s="179"/>
    </row>
    <row r="46" spans="1:6">
      <c r="A46" s="118"/>
      <c r="B46" s="139"/>
      <c r="C46" s="179"/>
      <c r="D46" s="179"/>
      <c r="E46" s="179"/>
      <c r="F46" s="179"/>
    </row>
    <row r="47" spans="1:6">
      <c r="A47" s="118"/>
      <c r="B47" s="139"/>
      <c r="C47" s="179"/>
      <c r="D47" s="179"/>
      <c r="E47" s="179"/>
      <c r="F47" s="179"/>
    </row>
    <row r="48" spans="1:6">
      <c r="A48" s="118"/>
      <c r="B48" s="139"/>
      <c r="C48" s="118"/>
      <c r="D48" s="118"/>
      <c r="E48" s="118"/>
      <c r="F48" s="118"/>
    </row>
    <row r="49" spans="1:6">
      <c r="A49" s="118"/>
      <c r="B49" s="139"/>
      <c r="C49" s="118"/>
      <c r="D49" s="118"/>
      <c r="E49" s="118"/>
      <c r="F49" s="118"/>
    </row>
    <row r="50" spans="1:6">
      <c r="A50" s="118"/>
      <c r="B50" s="139"/>
      <c r="C50" s="118"/>
      <c r="D50" s="118"/>
      <c r="E50" s="118"/>
      <c r="F50" s="118"/>
    </row>
    <row r="53" spans="1:6">
      <c r="A53" s="86" t="s">
        <v>73</v>
      </c>
      <c r="B53" s="347" t="str">
        <f>'Chart of Accounts AR Ledger'!B9</f>
        <v>Kia</v>
      </c>
      <c r="C53" s="348"/>
      <c r="D53" s="348"/>
    </row>
    <row r="54" spans="1:6" ht="15.75" thickBot="1">
      <c r="A54" s="183"/>
      <c r="B54" s="184"/>
      <c r="C54" s="185" t="s">
        <v>69</v>
      </c>
      <c r="D54" s="185"/>
      <c r="E54" s="185" t="s">
        <v>70</v>
      </c>
      <c r="F54" s="186"/>
    </row>
    <row r="55" spans="1:6" ht="30">
      <c r="A55" s="187" t="s">
        <v>35</v>
      </c>
      <c r="B55" s="188" t="s">
        <v>38</v>
      </c>
      <c r="C55" s="131" t="s">
        <v>63</v>
      </c>
      <c r="D55" s="131" t="s">
        <v>64</v>
      </c>
      <c r="E55" s="131" t="s">
        <v>63</v>
      </c>
      <c r="F55" s="189" t="s">
        <v>64</v>
      </c>
    </row>
    <row r="56" spans="1:6">
      <c r="A56" s="177"/>
      <c r="B56" s="139"/>
      <c r="C56" s="140"/>
      <c r="D56" s="118"/>
      <c r="E56" s="140"/>
      <c r="F56" s="118"/>
    </row>
    <row r="57" spans="1:6">
      <c r="A57" s="177"/>
      <c r="B57" s="139"/>
      <c r="C57" s="179"/>
      <c r="D57" s="179"/>
      <c r="E57" s="179"/>
      <c r="F57" s="179"/>
    </row>
    <row r="58" spans="1:6">
      <c r="A58" s="177"/>
      <c r="B58" s="139"/>
      <c r="C58" s="179"/>
      <c r="D58" s="179"/>
      <c r="E58" s="179"/>
      <c r="F58" s="179"/>
    </row>
    <row r="59" spans="1:6">
      <c r="A59" s="118"/>
      <c r="B59" s="139"/>
      <c r="C59" s="118"/>
      <c r="D59" s="118"/>
      <c r="E59" s="118"/>
      <c r="F59" s="118"/>
    </row>
    <row r="60" spans="1:6">
      <c r="A60" s="118"/>
      <c r="B60" s="139"/>
      <c r="C60" s="118"/>
      <c r="D60" s="118"/>
      <c r="E60" s="118"/>
      <c r="F60" s="118"/>
    </row>
    <row r="61" spans="1:6">
      <c r="A61" s="118"/>
      <c r="B61" s="139"/>
      <c r="C61" s="118"/>
      <c r="D61" s="118"/>
      <c r="E61" s="118"/>
      <c r="F61" s="118"/>
    </row>
    <row r="62" spans="1:6">
      <c r="A62" s="118"/>
      <c r="B62" s="139"/>
      <c r="C62" s="118"/>
      <c r="D62" s="118"/>
      <c r="E62" s="118"/>
      <c r="F62" s="118"/>
    </row>
    <row r="63" spans="1:6">
      <c r="A63" s="118"/>
      <c r="B63" s="139"/>
      <c r="C63" s="118"/>
      <c r="D63" s="118"/>
      <c r="E63" s="118"/>
      <c r="F63" s="118"/>
    </row>
    <row r="66" spans="1:6">
      <c r="A66" s="86" t="s">
        <v>73</v>
      </c>
      <c r="B66" s="347" t="str">
        <f>'Chart of Accounts AR Ledger'!B10</f>
        <v>Nissan</v>
      </c>
      <c r="C66" s="348"/>
      <c r="D66" s="348"/>
    </row>
    <row r="67" spans="1:6" ht="15.75" thickBot="1">
      <c r="A67" s="183"/>
      <c r="B67" s="184"/>
      <c r="C67" s="185" t="s">
        <v>69</v>
      </c>
      <c r="D67" s="185"/>
      <c r="E67" s="185" t="s">
        <v>70</v>
      </c>
      <c r="F67" s="186"/>
    </row>
    <row r="68" spans="1:6" ht="30">
      <c r="A68" s="187" t="s">
        <v>35</v>
      </c>
      <c r="B68" s="188" t="s">
        <v>38</v>
      </c>
      <c r="C68" s="131" t="s">
        <v>63</v>
      </c>
      <c r="D68" s="131" t="s">
        <v>64</v>
      </c>
      <c r="E68" s="131" t="s">
        <v>63</v>
      </c>
      <c r="F68" s="189" t="s">
        <v>64</v>
      </c>
    </row>
    <row r="69" spans="1:6">
      <c r="A69" s="177"/>
      <c r="B69" s="139"/>
      <c r="C69" s="138"/>
      <c r="D69" s="138"/>
      <c r="E69" s="138"/>
      <c r="F69" s="118"/>
    </row>
    <row r="70" spans="1:6">
      <c r="A70" s="177"/>
      <c r="B70" s="139"/>
      <c r="C70" s="118"/>
      <c r="D70" s="118"/>
      <c r="E70" s="140"/>
      <c r="F70" s="118"/>
    </row>
    <row r="71" spans="1:6">
      <c r="A71" s="177"/>
      <c r="B71" s="139"/>
      <c r="C71" s="118"/>
      <c r="D71" s="118"/>
      <c r="E71" s="118"/>
      <c r="F71" s="118"/>
    </row>
    <row r="72" spans="1:6">
      <c r="A72" s="118"/>
      <c r="B72" s="139"/>
      <c r="C72" s="118"/>
      <c r="D72" s="118"/>
      <c r="E72" s="118"/>
      <c r="F72" s="118"/>
    </row>
    <row r="73" spans="1:6">
      <c r="A73" s="118"/>
      <c r="B73" s="139"/>
      <c r="C73" s="118"/>
      <c r="D73" s="118"/>
      <c r="E73" s="118"/>
      <c r="F73" s="118"/>
    </row>
    <row r="74" spans="1:6">
      <c r="A74" s="118"/>
      <c r="B74" s="139"/>
      <c r="C74" s="118"/>
      <c r="D74" s="118"/>
      <c r="E74" s="118"/>
      <c r="F74" s="118"/>
    </row>
    <row r="75" spans="1:6">
      <c r="A75" s="118"/>
      <c r="B75" s="139"/>
      <c r="C75" s="118"/>
      <c r="D75" s="118"/>
      <c r="E75" s="118"/>
      <c r="F75" s="118"/>
    </row>
    <row r="76" spans="1:6">
      <c r="A76" s="118"/>
      <c r="B76" s="139"/>
      <c r="C76" s="118"/>
      <c r="D76" s="118"/>
      <c r="E76" s="118"/>
      <c r="F76" s="118"/>
    </row>
  </sheetData>
  <mergeCells count="6">
    <mergeCell ref="B66:D66"/>
    <mergeCell ref="B1:C1"/>
    <mergeCell ref="B14:D14"/>
    <mergeCell ref="B27:D27"/>
    <mergeCell ref="B40:D40"/>
    <mergeCell ref="B53:D53"/>
  </mergeCells>
  <pageMargins left="0.7" right="0.7" top="0.75" bottom="0.75" header="0.3" footer="0.3"/>
  <pageSetup orientation="portrait"/>
  <rowBreaks count="2" manualBreakCount="2">
    <brk id="37" max="16383" man="1"/>
    <brk id="76" max="16383" man="1"/>
  </rowBreak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sheetPr codeName="Sheet17"/>
  <dimension ref="A3:F91"/>
  <sheetViews>
    <sheetView workbookViewId="0">
      <selection activeCell="D19" sqref="D19"/>
    </sheetView>
  </sheetViews>
  <sheetFormatPr defaultColWidth="8.85546875" defaultRowHeight="15"/>
  <cols>
    <col min="1" max="1" width="12" style="86" customWidth="1"/>
    <col min="2" max="2" width="7.42578125" style="173" customWidth="1"/>
    <col min="3" max="6" width="15.42578125" style="86" customWidth="1"/>
    <col min="7" max="16384" width="8.85546875" style="86"/>
  </cols>
  <sheetData>
    <row r="3" spans="1:6" s="182" customFormat="1">
      <c r="A3" s="86" t="s">
        <v>73</v>
      </c>
      <c r="B3" s="347" t="str">
        <f>'Chart of Accounts AP Ledger'!B6</f>
        <v>Garmin</v>
      </c>
      <c r="C3" s="348"/>
      <c r="D3" s="348"/>
      <c r="E3" s="86" t="s">
        <v>71</v>
      </c>
      <c r="F3" s="86"/>
    </row>
    <row r="4" spans="1:6" ht="15.75" thickBot="1">
      <c r="A4" s="183"/>
      <c r="B4" s="184"/>
      <c r="C4" s="185" t="s">
        <v>69</v>
      </c>
      <c r="D4" s="185"/>
      <c r="E4" s="185" t="s">
        <v>70</v>
      </c>
      <c r="F4" s="186"/>
    </row>
    <row r="5" spans="1:6" ht="30">
      <c r="A5" s="187" t="s">
        <v>35</v>
      </c>
      <c r="B5" s="188" t="s">
        <v>38</v>
      </c>
      <c r="C5" s="131" t="s">
        <v>63</v>
      </c>
      <c r="D5" s="131" t="s">
        <v>64</v>
      </c>
      <c r="E5" s="131" t="s">
        <v>63</v>
      </c>
      <c r="F5" s="189" t="s">
        <v>64</v>
      </c>
    </row>
    <row r="6" spans="1:6">
      <c r="A6" s="177">
        <v>40329</v>
      </c>
      <c r="B6" s="139"/>
      <c r="C6" s="118"/>
      <c r="D6" s="138"/>
      <c r="E6" s="138"/>
      <c r="F6" s="138">
        <v>18000</v>
      </c>
    </row>
    <row r="7" spans="1:6">
      <c r="A7" s="177"/>
      <c r="B7" s="139"/>
      <c r="C7" s="118"/>
      <c r="D7" s="118"/>
      <c r="E7" s="118"/>
      <c r="F7" s="140"/>
    </row>
    <row r="8" spans="1:6">
      <c r="A8" s="177"/>
      <c r="B8" s="139"/>
      <c r="C8" s="118"/>
      <c r="D8" s="118"/>
      <c r="E8" s="118"/>
      <c r="F8" s="140"/>
    </row>
    <row r="9" spans="1:6">
      <c r="A9" s="118"/>
      <c r="B9" s="139"/>
      <c r="C9" s="118"/>
      <c r="D9" s="118"/>
      <c r="E9" s="118"/>
      <c r="F9" s="118"/>
    </row>
    <row r="10" spans="1:6">
      <c r="A10" s="118"/>
      <c r="B10" s="139"/>
      <c r="C10" s="118"/>
      <c r="D10" s="118"/>
      <c r="E10" s="118"/>
      <c r="F10" s="118"/>
    </row>
    <row r="11" spans="1:6">
      <c r="A11" s="118"/>
      <c r="B11" s="139"/>
      <c r="C11" s="118"/>
      <c r="D11" s="118"/>
      <c r="E11" s="118"/>
      <c r="F11" s="118"/>
    </row>
    <row r="12" spans="1:6">
      <c r="A12" s="118"/>
      <c r="B12" s="139"/>
      <c r="C12" s="118"/>
      <c r="D12" s="118"/>
      <c r="E12" s="118"/>
      <c r="F12" s="118"/>
    </row>
    <row r="13" spans="1:6">
      <c r="A13" s="118"/>
      <c r="B13" s="139"/>
      <c r="C13" s="118"/>
      <c r="D13" s="118"/>
      <c r="E13" s="118"/>
      <c r="F13" s="118"/>
    </row>
    <row r="16" spans="1:6">
      <c r="A16" s="86" t="s">
        <v>73</v>
      </c>
      <c r="B16" s="347" t="str">
        <f>'Chart of Accounts AP Ledger'!B7</f>
        <v>JVC</v>
      </c>
      <c r="C16" s="348"/>
      <c r="D16" s="348"/>
      <c r="E16" s="86" t="s">
        <v>71</v>
      </c>
    </row>
    <row r="17" spans="1:6" ht="15.75" thickBot="1">
      <c r="A17" s="183"/>
      <c r="B17" s="184"/>
      <c r="C17" s="185" t="s">
        <v>69</v>
      </c>
      <c r="D17" s="185"/>
      <c r="E17" s="185" t="s">
        <v>70</v>
      </c>
      <c r="F17" s="186"/>
    </row>
    <row r="18" spans="1:6" ht="30">
      <c r="A18" s="187" t="s">
        <v>35</v>
      </c>
      <c r="B18" s="188" t="s">
        <v>38</v>
      </c>
      <c r="C18" s="131" t="s">
        <v>63</v>
      </c>
      <c r="D18" s="131" t="s">
        <v>64</v>
      </c>
      <c r="E18" s="131" t="s">
        <v>63</v>
      </c>
      <c r="F18" s="189" t="s">
        <v>64</v>
      </c>
    </row>
    <row r="19" spans="1:6">
      <c r="A19" s="177">
        <v>40329</v>
      </c>
      <c r="B19" s="139"/>
      <c r="C19" s="138"/>
      <c r="D19" s="138">
        <v>162500</v>
      </c>
      <c r="E19" s="138"/>
      <c r="F19" s="138">
        <f>D19</f>
        <v>162500</v>
      </c>
    </row>
    <row r="20" spans="1:6">
      <c r="A20" s="177"/>
      <c r="B20" s="139"/>
      <c r="C20" s="138"/>
      <c r="D20" s="138"/>
      <c r="E20" s="118"/>
      <c r="F20" s="140"/>
    </row>
    <row r="21" spans="1:6">
      <c r="A21" s="177"/>
      <c r="B21" s="139"/>
      <c r="C21" s="138"/>
      <c r="D21" s="118"/>
      <c r="E21" s="118"/>
      <c r="F21" s="140"/>
    </row>
    <row r="22" spans="1:6">
      <c r="A22" s="177"/>
      <c r="B22" s="139"/>
      <c r="C22" s="140"/>
      <c r="D22" s="118"/>
      <c r="E22" s="118"/>
      <c r="F22" s="140"/>
    </row>
    <row r="23" spans="1:6">
      <c r="A23" s="118"/>
      <c r="B23" s="139"/>
      <c r="C23" s="118"/>
      <c r="D23" s="118"/>
      <c r="E23" s="118"/>
      <c r="F23" s="140"/>
    </row>
    <row r="24" spans="1:6">
      <c r="A24" s="118"/>
      <c r="B24" s="139"/>
      <c r="C24" s="118"/>
      <c r="D24" s="118"/>
      <c r="E24" s="118"/>
      <c r="F24" s="118"/>
    </row>
    <row r="25" spans="1:6">
      <c r="A25" s="118"/>
      <c r="B25" s="139"/>
      <c r="C25" s="118"/>
      <c r="D25" s="118"/>
      <c r="E25" s="118"/>
      <c r="F25" s="118"/>
    </row>
    <row r="26" spans="1:6">
      <c r="A26" s="118"/>
      <c r="B26" s="139"/>
      <c r="C26" s="118"/>
      <c r="D26" s="118"/>
      <c r="E26" s="118"/>
      <c r="F26" s="118"/>
    </row>
    <row r="29" spans="1:6">
      <c r="A29" s="86" t="s">
        <v>73</v>
      </c>
      <c r="B29" s="347" t="str">
        <f>'Chart of Accounts AP Ledger'!B8</f>
        <v>Magellan</v>
      </c>
      <c r="C29" s="348"/>
      <c r="D29" s="348"/>
      <c r="E29" s="86" t="s">
        <v>71</v>
      </c>
    </row>
    <row r="30" spans="1:6" ht="15.75" thickBot="1">
      <c r="A30" s="183"/>
      <c r="B30" s="184"/>
      <c r="C30" s="185" t="s">
        <v>69</v>
      </c>
      <c r="D30" s="185"/>
      <c r="E30" s="185" t="s">
        <v>70</v>
      </c>
      <c r="F30" s="186"/>
    </row>
    <row r="31" spans="1:6" ht="30">
      <c r="A31" s="187" t="s">
        <v>35</v>
      </c>
      <c r="B31" s="188" t="s">
        <v>38</v>
      </c>
      <c r="C31" s="131" t="s">
        <v>63</v>
      </c>
      <c r="D31" s="131" t="s">
        <v>64</v>
      </c>
      <c r="E31" s="131" t="s">
        <v>63</v>
      </c>
      <c r="F31" s="189" t="s">
        <v>64</v>
      </c>
    </row>
    <row r="32" spans="1:6">
      <c r="A32" s="177">
        <v>40329</v>
      </c>
      <c r="B32" s="139"/>
      <c r="C32" s="118"/>
      <c r="D32" s="138"/>
      <c r="E32" s="138"/>
      <c r="F32" s="138">
        <v>30000</v>
      </c>
    </row>
    <row r="33" spans="1:6">
      <c r="A33" s="177"/>
      <c r="B33" s="139"/>
      <c r="C33" s="118"/>
      <c r="D33" s="140"/>
      <c r="E33" s="118"/>
      <c r="F33" s="140"/>
    </row>
    <row r="34" spans="1:6">
      <c r="A34" s="177"/>
      <c r="B34" s="139"/>
      <c r="C34" s="138"/>
      <c r="D34" s="138"/>
      <c r="E34" s="118"/>
      <c r="F34" s="140"/>
    </row>
    <row r="35" spans="1:6">
      <c r="A35" s="177"/>
      <c r="B35" s="139"/>
      <c r="C35" s="138"/>
      <c r="D35" s="138"/>
      <c r="E35" s="118"/>
      <c r="F35" s="140"/>
    </row>
    <row r="36" spans="1:6">
      <c r="A36" s="118"/>
      <c r="B36" s="139"/>
      <c r="C36" s="118"/>
      <c r="D36" s="118"/>
      <c r="E36" s="118"/>
      <c r="F36" s="118"/>
    </row>
    <row r="37" spans="1:6">
      <c r="A37" s="118"/>
      <c r="B37" s="139"/>
      <c r="C37" s="118"/>
      <c r="D37" s="118"/>
      <c r="E37" s="118"/>
      <c r="F37" s="118"/>
    </row>
    <row r="38" spans="1:6">
      <c r="A38" s="118"/>
      <c r="B38" s="139"/>
      <c r="C38" s="118"/>
      <c r="D38" s="118"/>
      <c r="E38" s="118"/>
      <c r="F38" s="118"/>
    </row>
    <row r="39" spans="1:6">
      <c r="A39" s="118"/>
      <c r="B39" s="139"/>
      <c r="C39" s="118"/>
      <c r="D39" s="118"/>
      <c r="E39" s="118"/>
      <c r="F39" s="118"/>
    </row>
    <row r="42" spans="1:6">
      <c r="A42" s="86" t="s">
        <v>73</v>
      </c>
      <c r="B42" s="347" t="str">
        <f>'Chart of Accounts AP Ledger'!B10</f>
        <v>Motorola</v>
      </c>
      <c r="C42" s="348"/>
      <c r="D42" s="348"/>
      <c r="E42" s="86" t="s">
        <v>71</v>
      </c>
    </row>
    <row r="43" spans="1:6" ht="15.75" thickBot="1">
      <c r="A43" s="183"/>
      <c r="B43" s="184"/>
      <c r="C43" s="185" t="s">
        <v>69</v>
      </c>
      <c r="D43" s="185"/>
      <c r="E43" s="185" t="s">
        <v>70</v>
      </c>
      <c r="F43" s="186"/>
    </row>
    <row r="44" spans="1:6" ht="30">
      <c r="A44" s="187" t="s">
        <v>35</v>
      </c>
      <c r="B44" s="188" t="s">
        <v>38</v>
      </c>
      <c r="C44" s="131" t="s">
        <v>63</v>
      </c>
      <c r="D44" s="131" t="s">
        <v>64</v>
      </c>
      <c r="E44" s="131" t="s">
        <v>63</v>
      </c>
      <c r="F44" s="189" t="s">
        <v>64</v>
      </c>
    </row>
    <row r="45" spans="1:6">
      <c r="A45" s="177">
        <v>40329</v>
      </c>
      <c r="B45" s="139"/>
      <c r="C45" s="118"/>
      <c r="D45" s="138"/>
      <c r="E45" s="138"/>
      <c r="F45" s="121">
        <v>58000</v>
      </c>
    </row>
    <row r="46" spans="1:6">
      <c r="A46" s="177"/>
      <c r="B46" s="139"/>
      <c r="C46" s="118"/>
      <c r="D46" s="118"/>
      <c r="E46" s="118"/>
      <c r="F46" s="140"/>
    </row>
    <row r="47" spans="1:6">
      <c r="A47" s="177"/>
      <c r="B47" s="139"/>
      <c r="C47" s="118"/>
      <c r="D47" s="118"/>
      <c r="E47" s="118"/>
      <c r="F47" s="140"/>
    </row>
    <row r="48" spans="1:6">
      <c r="A48" s="118"/>
      <c r="B48" s="139"/>
      <c r="C48" s="118"/>
      <c r="D48" s="118"/>
      <c r="E48" s="118"/>
      <c r="F48" s="118"/>
    </row>
    <row r="49" spans="1:6">
      <c r="A49" s="118"/>
      <c r="B49" s="139"/>
      <c r="C49" s="118"/>
      <c r="D49" s="118"/>
      <c r="E49" s="118"/>
      <c r="F49" s="118"/>
    </row>
    <row r="50" spans="1:6">
      <c r="A50" s="118"/>
      <c r="B50" s="139"/>
      <c r="C50" s="118"/>
      <c r="D50" s="118"/>
      <c r="E50" s="118"/>
      <c r="F50" s="118"/>
    </row>
    <row r="51" spans="1:6">
      <c r="A51" s="118"/>
      <c r="B51" s="139"/>
      <c r="C51" s="118"/>
      <c r="D51" s="118"/>
      <c r="E51" s="118"/>
      <c r="F51" s="118"/>
    </row>
    <row r="52" spans="1:6">
      <c r="A52" s="118"/>
      <c r="B52" s="139"/>
      <c r="C52" s="118"/>
      <c r="D52" s="118"/>
      <c r="E52" s="118"/>
      <c r="F52" s="118"/>
    </row>
    <row r="55" spans="1:6">
      <c r="A55" s="86" t="s">
        <v>72</v>
      </c>
      <c r="B55" s="347" t="str">
        <f>'Chart of Accounts AP Ledger'!B11</f>
        <v>Navistar</v>
      </c>
      <c r="C55" s="348"/>
      <c r="D55" s="348"/>
      <c r="E55" s="86" t="s">
        <v>71</v>
      </c>
    </row>
    <row r="56" spans="1:6" ht="15.75" thickBot="1">
      <c r="A56" s="183"/>
      <c r="B56" s="184"/>
      <c r="C56" s="185" t="s">
        <v>69</v>
      </c>
      <c r="D56" s="185"/>
      <c r="E56" s="185" t="s">
        <v>70</v>
      </c>
      <c r="F56" s="186"/>
    </row>
    <row r="57" spans="1:6" ht="30">
      <c r="A57" s="187" t="s">
        <v>35</v>
      </c>
      <c r="B57" s="188" t="s">
        <v>38</v>
      </c>
      <c r="C57" s="131" t="s">
        <v>63</v>
      </c>
      <c r="D57" s="131" t="s">
        <v>64</v>
      </c>
      <c r="E57" s="131" t="s">
        <v>63</v>
      </c>
      <c r="F57" s="189" t="s">
        <v>64</v>
      </c>
    </row>
    <row r="58" spans="1:6">
      <c r="A58" s="177">
        <v>40329</v>
      </c>
      <c r="B58" s="139"/>
      <c r="C58" s="118"/>
      <c r="D58" s="138"/>
      <c r="E58" s="138"/>
      <c r="F58" s="138">
        <v>50000</v>
      </c>
    </row>
    <row r="59" spans="1:6">
      <c r="A59" s="177"/>
      <c r="B59" s="139"/>
      <c r="C59" s="141"/>
      <c r="D59" s="138"/>
      <c r="E59" s="138"/>
      <c r="F59" s="140"/>
    </row>
    <row r="60" spans="1:6">
      <c r="A60" s="177"/>
      <c r="B60" s="139"/>
      <c r="C60" s="138"/>
      <c r="D60" s="138"/>
      <c r="E60" s="138"/>
      <c r="F60" s="140"/>
    </row>
    <row r="61" spans="1:6">
      <c r="A61" s="177"/>
      <c r="B61" s="139"/>
      <c r="C61" s="138"/>
      <c r="D61" s="138"/>
      <c r="E61" s="141"/>
      <c r="F61" s="140"/>
    </row>
    <row r="62" spans="1:6">
      <c r="A62" s="118"/>
      <c r="B62" s="139"/>
      <c r="C62" s="118"/>
      <c r="D62" s="118"/>
      <c r="E62" s="118"/>
      <c r="F62" s="118"/>
    </row>
    <row r="63" spans="1:6">
      <c r="A63" s="118"/>
      <c r="B63" s="139"/>
      <c r="C63" s="118"/>
      <c r="D63" s="118"/>
      <c r="E63" s="118"/>
      <c r="F63" s="118"/>
    </row>
    <row r="64" spans="1:6">
      <c r="A64" s="118"/>
      <c r="B64" s="139"/>
      <c r="C64" s="118"/>
      <c r="D64" s="118"/>
      <c r="E64" s="118"/>
      <c r="F64" s="118"/>
    </row>
    <row r="65" spans="1:6">
      <c r="A65" s="118"/>
      <c r="B65" s="139"/>
      <c r="C65" s="118"/>
      <c r="D65" s="118"/>
      <c r="E65" s="118"/>
      <c r="F65" s="118"/>
    </row>
    <row r="68" spans="1:6">
      <c r="A68" s="86" t="s">
        <v>73</v>
      </c>
      <c r="B68" s="347" t="str">
        <f>'Chart of Accounts AP Ledger'!B12</f>
        <v>Office Max</v>
      </c>
      <c r="C68" s="348"/>
      <c r="D68" s="348"/>
      <c r="E68" s="86" t="s">
        <v>71</v>
      </c>
    </row>
    <row r="69" spans="1:6" ht="15.75" thickBot="1">
      <c r="A69" s="183"/>
      <c r="B69" s="184"/>
      <c r="C69" s="185" t="s">
        <v>69</v>
      </c>
      <c r="D69" s="185"/>
      <c r="E69" s="185" t="s">
        <v>70</v>
      </c>
      <c r="F69" s="186"/>
    </row>
    <row r="70" spans="1:6" ht="30">
      <c r="A70" s="187" t="s">
        <v>35</v>
      </c>
      <c r="B70" s="188" t="s">
        <v>38</v>
      </c>
      <c r="C70" s="131" t="s">
        <v>63</v>
      </c>
      <c r="D70" s="131" t="s">
        <v>64</v>
      </c>
      <c r="E70" s="131" t="s">
        <v>63</v>
      </c>
      <c r="F70" s="189" t="s">
        <v>64</v>
      </c>
    </row>
    <row r="71" spans="1:6">
      <c r="A71" s="177"/>
      <c r="B71" s="139"/>
      <c r="C71" s="138"/>
      <c r="D71" s="138"/>
      <c r="E71" s="138"/>
      <c r="F71" s="138"/>
    </row>
    <row r="72" spans="1:6">
      <c r="A72" s="177"/>
      <c r="B72" s="139"/>
      <c r="C72" s="138"/>
      <c r="D72" s="138"/>
      <c r="E72" s="140"/>
      <c r="F72" s="140"/>
    </row>
    <row r="73" spans="1:6">
      <c r="A73" s="177"/>
      <c r="B73" s="139"/>
      <c r="C73" s="118"/>
      <c r="D73" s="118"/>
      <c r="E73" s="118"/>
      <c r="F73" s="118"/>
    </row>
    <row r="74" spans="1:6">
      <c r="A74" s="118"/>
      <c r="B74" s="139"/>
      <c r="C74" s="118"/>
      <c r="D74" s="118"/>
      <c r="E74" s="118"/>
      <c r="F74" s="118"/>
    </row>
    <row r="75" spans="1:6">
      <c r="A75" s="118"/>
      <c r="B75" s="139"/>
      <c r="C75" s="118"/>
      <c r="D75" s="118"/>
      <c r="E75" s="118"/>
      <c r="F75" s="118"/>
    </row>
    <row r="76" spans="1:6">
      <c r="A76" s="118"/>
      <c r="B76" s="139"/>
      <c r="C76" s="118"/>
      <c r="D76" s="118"/>
      <c r="E76" s="118"/>
      <c r="F76" s="118"/>
    </row>
    <row r="77" spans="1:6">
      <c r="A77" s="118"/>
      <c r="B77" s="139"/>
      <c r="C77" s="118"/>
      <c r="D77" s="118"/>
      <c r="E77" s="118"/>
      <c r="F77" s="118"/>
    </row>
    <row r="78" spans="1:6">
      <c r="A78" s="118"/>
      <c r="B78" s="139"/>
      <c r="C78" s="118"/>
      <c r="D78" s="118"/>
      <c r="E78" s="118"/>
      <c r="F78" s="118"/>
    </row>
    <row r="79" spans="1:6">
      <c r="A79" s="247"/>
      <c r="B79" s="248"/>
      <c r="C79" s="247"/>
      <c r="D79" s="247"/>
      <c r="E79" s="247"/>
      <c r="F79" s="247"/>
    </row>
    <row r="80" spans="1:6">
      <c r="A80" s="247"/>
      <c r="B80" s="248"/>
      <c r="C80" s="247"/>
      <c r="D80" s="247"/>
      <c r="E80" s="247"/>
      <c r="F80" s="247"/>
    </row>
    <row r="81" spans="1:6">
      <c r="A81" s="86" t="s">
        <v>73</v>
      </c>
      <c r="B81" s="347" t="str">
        <f>'Chart of Accounts AP Ledger'!B13</f>
        <v>Samsung</v>
      </c>
      <c r="C81" s="348"/>
      <c r="D81" s="348"/>
      <c r="E81" s="86" t="s">
        <v>71</v>
      </c>
    </row>
    <row r="82" spans="1:6" ht="15.75" thickBot="1">
      <c r="A82" s="183"/>
      <c r="B82" s="184"/>
      <c r="C82" s="185" t="s">
        <v>69</v>
      </c>
      <c r="D82" s="185"/>
      <c r="E82" s="185" t="s">
        <v>70</v>
      </c>
      <c r="F82" s="186"/>
    </row>
    <row r="83" spans="1:6" ht="30">
      <c r="A83" s="187" t="s">
        <v>35</v>
      </c>
      <c r="B83" s="188" t="s">
        <v>38</v>
      </c>
      <c r="C83" s="131" t="s">
        <v>63</v>
      </c>
      <c r="D83" s="131" t="s">
        <v>64</v>
      </c>
      <c r="E83" s="131" t="s">
        <v>63</v>
      </c>
      <c r="F83" s="189" t="s">
        <v>64</v>
      </c>
    </row>
    <row r="84" spans="1:6">
      <c r="A84" s="177"/>
      <c r="B84" s="139"/>
      <c r="C84" s="138"/>
      <c r="D84" s="138"/>
      <c r="E84" s="138"/>
      <c r="F84" s="138"/>
    </row>
    <row r="85" spans="1:6">
      <c r="A85" s="177"/>
      <c r="B85" s="139"/>
      <c r="C85" s="138"/>
      <c r="D85" s="138"/>
      <c r="E85" s="118"/>
      <c r="F85" s="140"/>
    </row>
    <row r="86" spans="1:6">
      <c r="A86" s="177"/>
      <c r="B86" s="139"/>
      <c r="C86" s="118"/>
      <c r="D86" s="118"/>
      <c r="E86" s="118"/>
      <c r="F86" s="118"/>
    </row>
    <row r="87" spans="1:6">
      <c r="A87" s="118"/>
      <c r="B87" s="139"/>
      <c r="C87" s="118"/>
      <c r="D87" s="118"/>
      <c r="E87" s="118"/>
      <c r="F87" s="118"/>
    </row>
    <row r="88" spans="1:6">
      <c r="A88" s="118"/>
      <c r="B88" s="139"/>
      <c r="C88" s="118"/>
      <c r="D88" s="118"/>
      <c r="E88" s="118"/>
      <c r="F88" s="118"/>
    </row>
    <row r="89" spans="1:6">
      <c r="A89" s="118"/>
      <c r="B89" s="139"/>
      <c r="C89" s="118"/>
      <c r="D89" s="118"/>
      <c r="E89" s="118"/>
      <c r="F89" s="118"/>
    </row>
    <row r="90" spans="1:6">
      <c r="A90" s="118"/>
      <c r="B90" s="139"/>
      <c r="C90" s="118"/>
      <c r="D90" s="118"/>
      <c r="E90" s="118"/>
      <c r="F90" s="118"/>
    </row>
    <row r="91" spans="1:6">
      <c r="A91" s="118"/>
      <c r="B91" s="139"/>
      <c r="C91" s="118"/>
      <c r="D91" s="118"/>
      <c r="E91" s="118"/>
      <c r="F91" s="118"/>
    </row>
  </sheetData>
  <mergeCells count="7">
    <mergeCell ref="B16:D16"/>
    <mergeCell ref="B3:D3"/>
    <mergeCell ref="B42:D42"/>
    <mergeCell ref="B55:D55"/>
    <mergeCell ref="B81:D81"/>
    <mergeCell ref="B29:D29"/>
    <mergeCell ref="B68:D68"/>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sheetPr codeName="Sheet18">
    <pageSetUpPr fitToPage="1"/>
  </sheetPr>
  <dimension ref="A1:Q58"/>
  <sheetViews>
    <sheetView tabSelected="1" topLeftCell="B27" zoomScale="80" zoomScaleNormal="80" zoomScalePageLayoutView="80" workbookViewId="0">
      <pane xSplit="1" topLeftCell="C1" activePane="topRight" state="frozen"/>
      <selection activeCell="D94" sqref="D94"/>
      <selection pane="topRight" activeCell="D30" sqref="D30"/>
    </sheetView>
  </sheetViews>
  <sheetFormatPr defaultColWidth="8.85546875" defaultRowHeight="15"/>
  <cols>
    <col min="1" max="1" width="10.28515625" style="24" bestFit="1" customWidth="1"/>
    <col min="2" max="2" width="57" style="22" bestFit="1" customWidth="1"/>
    <col min="3" max="3" width="16.28515625" style="22" bestFit="1" customWidth="1"/>
    <col min="4" max="4" width="15" style="22" bestFit="1" customWidth="1"/>
    <col min="5" max="5" width="11.28515625" style="22" customWidth="1"/>
    <col min="6" max="8" width="12.42578125" style="22" bestFit="1" customWidth="1"/>
    <col min="9" max="10" width="11.28515625" style="22" customWidth="1"/>
    <col min="11" max="12" width="12.42578125" style="22" bestFit="1" customWidth="1"/>
    <col min="13" max="13" width="8.85546875" style="22"/>
    <col min="14" max="14" width="51" style="22" bestFit="1" customWidth="1"/>
    <col min="15" max="16" width="13.5703125" style="22" bestFit="1" customWidth="1"/>
    <col min="17" max="16384" width="8.85546875" style="22"/>
  </cols>
  <sheetData>
    <row r="1" spans="1:17" s="40" customFormat="1" ht="12.75">
      <c r="A1" s="43"/>
      <c r="B1" s="44"/>
      <c r="C1" s="45" t="s">
        <v>74</v>
      </c>
      <c r="D1" s="45"/>
      <c r="E1" s="44"/>
      <c r="F1" s="44"/>
      <c r="G1" s="45" t="s">
        <v>75</v>
      </c>
      <c r="H1" s="41"/>
      <c r="I1" s="45" t="s">
        <v>76</v>
      </c>
      <c r="J1" s="41"/>
      <c r="K1" s="45" t="s">
        <v>77</v>
      </c>
      <c r="L1" s="42"/>
    </row>
    <row r="2" spans="1:17" s="40" customFormat="1">
      <c r="A2" s="125"/>
      <c r="B2" s="119"/>
      <c r="C2" s="48" t="s">
        <v>78</v>
      </c>
      <c r="D2" s="48"/>
      <c r="E2" s="48" t="s">
        <v>79</v>
      </c>
      <c r="F2" s="49"/>
      <c r="G2" s="48" t="s">
        <v>78</v>
      </c>
      <c r="H2" s="49"/>
      <c r="I2" s="48" t="s">
        <v>80</v>
      </c>
      <c r="J2" s="49"/>
      <c r="K2" s="48" t="s">
        <v>81</v>
      </c>
      <c r="L2" s="50"/>
      <c r="N2" s="358"/>
      <c r="O2" s="359"/>
      <c r="P2" s="360"/>
      <c r="Q2" s="135"/>
    </row>
    <row r="3" spans="1:17" s="24" customFormat="1" ht="15.75">
      <c r="A3" s="23" t="s">
        <v>82</v>
      </c>
      <c r="B3" s="23" t="s">
        <v>83</v>
      </c>
      <c r="C3" s="23" t="s">
        <v>84</v>
      </c>
      <c r="D3" s="23" t="s">
        <v>85</v>
      </c>
      <c r="E3" s="23" t="s">
        <v>84</v>
      </c>
      <c r="F3" s="23" t="s">
        <v>85</v>
      </c>
      <c r="G3" s="23" t="s">
        <v>84</v>
      </c>
      <c r="H3" s="23" t="s">
        <v>85</v>
      </c>
      <c r="I3" s="23" t="s">
        <v>84</v>
      </c>
      <c r="J3" s="23" t="s">
        <v>85</v>
      </c>
      <c r="K3" s="23" t="s">
        <v>84</v>
      </c>
      <c r="L3" s="23" t="s">
        <v>85</v>
      </c>
      <c r="N3" s="358"/>
      <c r="O3" s="361"/>
      <c r="P3" s="362"/>
      <c r="Q3" s="135"/>
    </row>
    <row r="4" spans="1:17" ht="24" customHeight="1">
      <c r="A4" s="25">
        <f>'Chart of Accounts GL'!A9</f>
        <v>100</v>
      </c>
      <c r="B4" s="122" t="str">
        <f>'Chart of Accounts GL'!B9</f>
        <v>Cash</v>
      </c>
      <c r="C4" s="149">
        <v>605715</v>
      </c>
      <c r="D4" s="149"/>
      <c r="E4" s="149"/>
      <c r="F4" s="149"/>
      <c r="G4" s="149"/>
      <c r="H4" s="149"/>
      <c r="I4" s="149"/>
      <c r="J4" s="149"/>
      <c r="K4" s="149"/>
      <c r="L4" s="149"/>
      <c r="M4" s="115"/>
      <c r="N4" s="363"/>
      <c r="O4" s="364"/>
      <c r="P4" s="364"/>
      <c r="Q4" s="135"/>
    </row>
    <row r="5" spans="1:17" ht="24" customHeight="1">
      <c r="A5" s="25">
        <f>'Chart of Accounts GL'!A10</f>
        <v>102</v>
      </c>
      <c r="B5" s="123" t="str">
        <f>'Chart of Accounts GL'!B10</f>
        <v>Accounts Receivable</v>
      </c>
      <c r="C5" s="149">
        <v>976775</v>
      </c>
      <c r="D5" s="149"/>
      <c r="E5" s="149"/>
      <c r="F5" s="149"/>
      <c r="G5" s="149"/>
      <c r="H5" s="149"/>
      <c r="I5" s="149"/>
      <c r="J5" s="149"/>
      <c r="K5" s="149"/>
      <c r="L5" s="149"/>
      <c r="M5" s="115"/>
      <c r="N5" s="365"/>
      <c r="O5" s="366"/>
      <c r="P5" s="366"/>
      <c r="Q5" s="135"/>
    </row>
    <row r="6" spans="1:17" ht="24" customHeight="1">
      <c r="A6" s="25">
        <f>'Chart of Accounts GL'!A11</f>
        <v>103</v>
      </c>
      <c r="B6" s="123" t="str">
        <f>'Chart of Accounts GL'!B11</f>
        <v>Allowance for Doubtful Accounts</v>
      </c>
      <c r="C6" s="149"/>
      <c r="D6" s="149">
        <v>15000</v>
      </c>
      <c r="E6" s="149"/>
      <c r="F6" s="149"/>
      <c r="G6" s="149"/>
      <c r="H6" s="149"/>
      <c r="I6" s="149"/>
      <c r="J6" s="149"/>
      <c r="K6" s="149"/>
      <c r="L6" s="149"/>
      <c r="M6" s="115"/>
      <c r="N6" s="377"/>
      <c r="O6" s="378"/>
      <c r="P6" s="379"/>
      <c r="Q6" s="135"/>
    </row>
    <row r="7" spans="1:17" ht="24" customHeight="1">
      <c r="A7" s="25">
        <f>'Chart of Accounts GL'!A12</f>
        <v>104</v>
      </c>
      <c r="B7" s="123" t="str">
        <f>'Chart of Accounts GL'!B12</f>
        <v>Merchandise Inventory</v>
      </c>
      <c r="C7" s="149">
        <v>334000</v>
      </c>
      <c r="D7" s="149"/>
      <c r="E7" s="149"/>
      <c r="F7" s="149"/>
      <c r="G7" s="149"/>
      <c r="H7" s="149"/>
      <c r="I7" s="149"/>
      <c r="J7" s="149"/>
      <c r="K7" s="149"/>
      <c r="L7" s="149"/>
      <c r="M7" s="115"/>
      <c r="N7" s="367"/>
      <c r="O7" s="369"/>
      <c r="P7" s="368"/>
      <c r="Q7" s="135"/>
    </row>
    <row r="8" spans="1:17" ht="24" customHeight="1">
      <c r="A8" s="25">
        <f>'Chart of Accounts GL'!A13</f>
        <v>105</v>
      </c>
      <c r="B8" s="123" t="str">
        <f>'Chart of Accounts GL'!B13</f>
        <v>Office Supplies</v>
      </c>
      <c r="C8" s="149">
        <v>3200</v>
      </c>
      <c r="D8" s="149"/>
      <c r="E8" s="149"/>
      <c r="F8" s="149"/>
      <c r="G8" s="149"/>
      <c r="H8" s="149"/>
      <c r="I8" s="149"/>
      <c r="J8" s="149"/>
      <c r="K8" s="149"/>
      <c r="L8" s="149"/>
      <c r="M8" s="115"/>
      <c r="N8" s="367"/>
      <c r="O8" s="368"/>
      <c r="P8" s="369"/>
      <c r="Q8" s="135"/>
    </row>
    <row r="9" spans="1:17" ht="24" customHeight="1">
      <c r="A9" s="25">
        <f>'Chart of Accounts GL'!A14</f>
        <v>106</v>
      </c>
      <c r="B9" s="123" t="str">
        <f>'Chart of Accounts GL'!B14</f>
        <v>Prepaid Insurance</v>
      </c>
      <c r="C9" s="149">
        <v>14000</v>
      </c>
      <c r="D9" s="149"/>
      <c r="E9" s="149"/>
      <c r="F9" s="149"/>
      <c r="G9" s="149"/>
      <c r="H9" s="149"/>
      <c r="I9" s="149"/>
      <c r="J9" s="149"/>
      <c r="K9" s="149"/>
      <c r="L9" s="149"/>
      <c r="M9" s="115"/>
      <c r="N9" s="367"/>
      <c r="O9" s="368"/>
      <c r="P9" s="369"/>
      <c r="Q9" s="135"/>
    </row>
    <row r="10" spans="1:17" ht="24" customHeight="1">
      <c r="A10" s="25">
        <f>'Chart of Accounts GL'!A16</f>
        <v>140</v>
      </c>
      <c r="B10" s="123" t="str">
        <f>'Chart of Accounts GL'!B16</f>
        <v>Land</v>
      </c>
      <c r="C10" s="149">
        <v>200600</v>
      </c>
      <c r="D10" s="149"/>
      <c r="E10" s="149"/>
      <c r="F10" s="149"/>
      <c r="G10" s="149"/>
      <c r="H10" s="149"/>
      <c r="I10" s="149"/>
      <c r="J10" s="149"/>
      <c r="K10" s="149"/>
      <c r="L10" s="149"/>
      <c r="M10" s="115"/>
      <c r="N10" s="365"/>
      <c r="O10" s="370"/>
      <c r="P10" s="371"/>
      <c r="Q10" s="135"/>
    </row>
    <row r="11" spans="1:17" ht="24" customHeight="1">
      <c r="A11" s="25">
        <f>'Chart of Accounts GL'!A17</f>
        <v>145</v>
      </c>
      <c r="B11" s="123" t="str">
        <f>'Chart of Accounts GL'!B17</f>
        <v>Building</v>
      </c>
      <c r="C11" s="149">
        <v>1500000</v>
      </c>
      <c r="D11" s="149"/>
      <c r="E11" s="149"/>
      <c r="F11" s="149"/>
      <c r="G11" s="149"/>
      <c r="H11" s="149"/>
      <c r="I11" s="149"/>
      <c r="J11" s="149"/>
      <c r="K11" s="149"/>
      <c r="L11" s="149"/>
      <c r="M11" s="115"/>
      <c r="N11" s="372"/>
      <c r="O11" s="373"/>
      <c r="P11" s="373"/>
      <c r="Q11" s="135"/>
    </row>
    <row r="12" spans="1:17" ht="24" customHeight="1">
      <c r="A12" s="25">
        <f>'Chart of Accounts GL'!A18</f>
        <v>146</v>
      </c>
      <c r="B12" s="123" t="str">
        <f>'Chart of Accounts GL'!B18</f>
        <v>Accumulated Depreciation - Building</v>
      </c>
      <c r="C12" s="149"/>
      <c r="D12" s="149">
        <v>1500000</v>
      </c>
      <c r="E12" s="149"/>
      <c r="F12" s="149"/>
      <c r="G12" s="149"/>
      <c r="H12" s="149"/>
      <c r="I12" s="149"/>
      <c r="J12" s="149"/>
      <c r="K12" s="149"/>
      <c r="L12" s="149"/>
      <c r="M12" s="115"/>
      <c r="N12" s="377"/>
      <c r="O12" s="378"/>
      <c r="P12" s="379"/>
      <c r="Q12" s="135"/>
    </row>
    <row r="13" spans="1:17" ht="24" customHeight="1">
      <c r="A13" s="25">
        <f>'Chart of Accounts GL'!A19</f>
        <v>151</v>
      </c>
      <c r="B13" s="123" t="str">
        <f>'Chart of Accounts GL'!B19</f>
        <v>Equipment &amp; Furniture - Warehouse</v>
      </c>
      <c r="C13" s="149">
        <v>10000</v>
      </c>
      <c r="D13" s="149"/>
      <c r="E13" s="149"/>
      <c r="F13" s="149"/>
      <c r="G13" s="149"/>
      <c r="H13" s="149"/>
      <c r="I13" s="149"/>
      <c r="J13" s="149"/>
      <c r="K13" s="149"/>
      <c r="L13" s="149"/>
      <c r="M13" s="115"/>
      <c r="N13" s="377"/>
      <c r="O13" s="378"/>
      <c r="P13" s="379"/>
      <c r="Q13" s="135"/>
    </row>
    <row r="14" spans="1:17" ht="24" customHeight="1">
      <c r="A14" s="25">
        <f>'Chart of Accounts GL'!A20</f>
        <v>152</v>
      </c>
      <c r="B14" s="123" t="str">
        <f>'Chart of Accounts GL'!B20</f>
        <v>Accumulated Depreciation - Equip &amp; Furn. - Warehouse</v>
      </c>
      <c r="C14" s="149"/>
      <c r="D14" s="149">
        <v>1900</v>
      </c>
      <c r="E14" s="149"/>
      <c r="F14" s="149"/>
      <c r="G14" s="149"/>
      <c r="H14" s="149"/>
      <c r="I14" s="149"/>
      <c r="J14" s="149"/>
      <c r="K14" s="149"/>
      <c r="L14" s="149"/>
      <c r="M14" s="115"/>
      <c r="N14" s="377"/>
      <c r="O14" s="378"/>
      <c r="P14" s="379"/>
      <c r="Q14" s="135"/>
    </row>
    <row r="15" spans="1:17" ht="24" customHeight="1">
      <c r="A15" s="25">
        <f>'Chart of Accounts GL'!A21</f>
        <v>153</v>
      </c>
      <c r="B15" s="123" t="str">
        <f>'Chart of Accounts GL'!B21</f>
        <v>Equipment &amp; Furniture - Office</v>
      </c>
      <c r="C15" s="149">
        <v>8500</v>
      </c>
      <c r="D15" s="149"/>
      <c r="E15" s="149"/>
      <c r="F15" s="149"/>
      <c r="G15" s="149"/>
      <c r="H15" s="149"/>
      <c r="I15" s="149"/>
      <c r="J15" s="149"/>
      <c r="K15" s="149"/>
      <c r="L15" s="149"/>
      <c r="M15" s="115"/>
      <c r="N15" s="377"/>
      <c r="O15" s="378"/>
      <c r="P15" s="379"/>
      <c r="Q15" s="135"/>
    </row>
    <row r="16" spans="1:17" ht="24" customHeight="1">
      <c r="A16" s="25">
        <f>'Chart of Accounts GL'!A22</f>
        <v>154</v>
      </c>
      <c r="B16" s="123" t="str">
        <f>'Chart of Accounts GL'!B22</f>
        <v>Accumulated Depreciation - Equip &amp; Furn. - Office</v>
      </c>
      <c r="C16" s="149"/>
      <c r="D16" s="149">
        <v>1600</v>
      </c>
      <c r="E16" s="149"/>
      <c r="F16" s="149"/>
      <c r="G16" s="149"/>
      <c r="H16" s="149"/>
      <c r="I16" s="149"/>
      <c r="J16" s="149"/>
      <c r="K16" s="149"/>
      <c r="L16" s="149"/>
      <c r="M16" s="115"/>
      <c r="N16" s="367"/>
      <c r="O16" s="368"/>
      <c r="P16" s="369"/>
      <c r="Q16" s="135"/>
    </row>
    <row r="17" spans="1:17" ht="24" customHeight="1">
      <c r="A17" s="25">
        <f>'Chart of Accounts GL'!A26</f>
        <v>201</v>
      </c>
      <c r="B17" s="122" t="str">
        <f>'Chart of Accounts GL'!B26</f>
        <v>Accounts Payable</v>
      </c>
      <c r="C17" s="149"/>
      <c r="D17" s="149">
        <v>1190750</v>
      </c>
      <c r="E17" s="149"/>
      <c r="F17" s="149"/>
      <c r="G17" s="149"/>
      <c r="H17" s="149"/>
      <c r="I17" s="149"/>
      <c r="J17" s="149"/>
      <c r="K17" s="149"/>
      <c r="L17" s="149"/>
      <c r="M17" s="115"/>
      <c r="N17" s="367"/>
      <c r="O17" s="368"/>
      <c r="P17" s="369"/>
      <c r="Q17" s="135"/>
    </row>
    <row r="18" spans="1:17" ht="24" customHeight="1">
      <c r="A18" s="25">
        <f>'Chart of Accounts GL'!A27</f>
        <v>202</v>
      </c>
      <c r="B18" s="122" t="str">
        <f>'Chart of Accounts GL'!B27</f>
        <v>Wages Payable</v>
      </c>
      <c r="C18" s="149"/>
      <c r="D18" s="149"/>
      <c r="E18" s="149"/>
      <c r="F18" s="149"/>
      <c r="G18" s="149"/>
      <c r="H18" s="149"/>
      <c r="I18" s="149"/>
      <c r="J18" s="149"/>
      <c r="K18" s="149"/>
      <c r="L18" s="149"/>
      <c r="M18" s="115"/>
      <c r="N18" s="377"/>
      <c r="O18" s="378"/>
      <c r="P18" s="379"/>
      <c r="Q18" s="135"/>
    </row>
    <row r="19" spans="1:17" ht="24" customHeight="1">
      <c r="A19" s="25">
        <f>'Chart of Accounts GL'!A28</f>
        <v>203</v>
      </c>
      <c r="B19" s="122" t="str">
        <f>'Chart of Accounts GL'!B28</f>
        <v>Interest Payable</v>
      </c>
      <c r="C19" s="149"/>
      <c r="D19" s="149"/>
      <c r="E19" s="149"/>
      <c r="F19" s="149"/>
      <c r="G19" s="149"/>
      <c r="H19" s="149"/>
      <c r="I19" s="149"/>
      <c r="J19" s="149"/>
      <c r="K19" s="149"/>
      <c r="L19" s="149"/>
      <c r="M19" s="115"/>
      <c r="N19" s="377"/>
      <c r="O19" s="378"/>
      <c r="P19" s="379"/>
      <c r="Q19" s="135"/>
    </row>
    <row r="20" spans="1:17" ht="24" customHeight="1">
      <c r="A20" s="25">
        <f>'Chart of Accounts GL'!A29</f>
        <v>204</v>
      </c>
      <c r="B20" s="122" t="str">
        <f>'Chart of Accounts GL'!B29</f>
        <v>Dividends Payable</v>
      </c>
      <c r="C20" s="149"/>
      <c r="D20" s="149"/>
      <c r="E20" s="149"/>
      <c r="F20" s="149"/>
      <c r="G20" s="149"/>
      <c r="H20" s="149"/>
      <c r="I20" s="149"/>
      <c r="J20" s="149"/>
      <c r="K20" s="149"/>
      <c r="L20" s="149"/>
      <c r="M20" s="115"/>
      <c r="N20" s="377"/>
      <c r="O20" s="378"/>
      <c r="P20" s="379"/>
      <c r="Q20" s="135"/>
    </row>
    <row r="21" spans="1:17" ht="24" customHeight="1">
      <c r="A21" s="25">
        <f>'Chart of Accounts GL'!A30</f>
        <v>205</v>
      </c>
      <c r="B21" s="122" t="str">
        <f>'Chart of Accounts GL'!B30</f>
        <v>Unearned Rent</v>
      </c>
      <c r="C21" s="149"/>
      <c r="D21" s="149">
        <v>3200</v>
      </c>
      <c r="E21" s="149"/>
      <c r="F21" s="149"/>
      <c r="G21" s="149"/>
      <c r="H21" s="149"/>
      <c r="I21" s="149"/>
      <c r="J21" s="149"/>
      <c r="K21" s="149"/>
      <c r="L21" s="149"/>
      <c r="M21" s="115"/>
      <c r="N21" s="365"/>
      <c r="O21" s="371"/>
      <c r="P21" s="370"/>
      <c r="Q21" s="135"/>
    </row>
    <row r="22" spans="1:17" ht="24" customHeight="1">
      <c r="A22" s="25">
        <f>'Chart of Accounts GL'!A32</f>
        <v>250</v>
      </c>
      <c r="B22" s="122" t="str">
        <f>'Chart of Accounts GL'!B32</f>
        <v>Notes Payable</v>
      </c>
      <c r="C22" s="149"/>
      <c r="D22" s="149">
        <v>185000</v>
      </c>
      <c r="E22" s="149"/>
      <c r="F22" s="149"/>
      <c r="G22" s="149"/>
      <c r="H22" s="149"/>
      <c r="I22" s="149"/>
      <c r="J22" s="149"/>
      <c r="K22" s="149"/>
      <c r="L22" s="149"/>
      <c r="M22" s="115"/>
      <c r="N22" s="367"/>
      <c r="O22" s="369"/>
      <c r="P22" s="368"/>
      <c r="Q22" s="135"/>
    </row>
    <row r="23" spans="1:17" ht="24" customHeight="1">
      <c r="A23" s="25">
        <f>'Chart of Accounts GL'!A33</f>
        <v>251</v>
      </c>
      <c r="B23" s="122" t="str">
        <f>'Chart of Accounts GL'!B33</f>
        <v>Bonds Payable</v>
      </c>
      <c r="C23" s="149"/>
      <c r="D23" s="149">
        <v>450000</v>
      </c>
      <c r="E23" s="149"/>
      <c r="F23" s="149"/>
      <c r="G23" s="149"/>
      <c r="H23" s="149"/>
      <c r="I23" s="149"/>
      <c r="J23" s="149"/>
      <c r="K23" s="149"/>
      <c r="L23" s="149"/>
      <c r="M23" s="115"/>
      <c r="N23" s="367"/>
      <c r="O23" s="369"/>
      <c r="P23" s="368"/>
      <c r="Q23" s="135"/>
    </row>
    <row r="24" spans="1:17" ht="24" customHeight="1">
      <c r="A24" s="25">
        <f>'Chart of Accounts GL'!A34</f>
        <v>252</v>
      </c>
      <c r="B24" s="122" t="str">
        <f>'Chart of Accounts GL'!B34</f>
        <v>Mortgage (Warehouse) Payable</v>
      </c>
      <c r="C24" s="149"/>
      <c r="D24" s="149">
        <v>198000</v>
      </c>
      <c r="E24" s="149"/>
      <c r="F24" s="149"/>
      <c r="G24" s="149"/>
      <c r="H24" s="149"/>
      <c r="I24" s="149"/>
      <c r="J24" s="149"/>
      <c r="K24" s="149"/>
      <c r="L24" s="149"/>
      <c r="M24" s="115"/>
      <c r="N24" s="365"/>
      <c r="O24" s="371"/>
      <c r="P24" s="370"/>
      <c r="Q24" s="135"/>
    </row>
    <row r="25" spans="1:17" ht="24" customHeight="1">
      <c r="A25" s="25">
        <f>'Chart of Accounts GL'!A36</f>
        <v>300</v>
      </c>
      <c r="B25" s="124" t="str">
        <f>'Chart of Accounts GL'!B36</f>
        <v>Common Stock, $1 Par, 100,000 Authorized; 60,000 shares Issued/Outstanding</v>
      </c>
      <c r="C25" s="149"/>
      <c r="D25" s="149">
        <v>120500</v>
      </c>
      <c r="E25" s="149"/>
      <c r="F25" s="149"/>
      <c r="G25" s="149"/>
      <c r="H25" s="149"/>
      <c r="I25" s="149"/>
      <c r="J25" s="149"/>
      <c r="K25" s="149"/>
      <c r="L25" s="149"/>
      <c r="M25" s="115"/>
      <c r="N25" s="372"/>
      <c r="O25" s="374"/>
      <c r="P25" s="373"/>
      <c r="Q25" s="135"/>
    </row>
    <row r="26" spans="1:17" ht="24" customHeight="1">
      <c r="A26" s="25">
        <f>'Chart of Accounts GL'!A37</f>
        <v>301</v>
      </c>
      <c r="B26" s="122" t="str">
        <f>'Chart of Accounts GL'!B37</f>
        <v>Paid In Capital - Excess of Par</v>
      </c>
      <c r="C26" s="149"/>
      <c r="D26" s="149">
        <v>1341000</v>
      </c>
      <c r="E26" s="149"/>
      <c r="F26" s="149"/>
      <c r="G26" s="149"/>
      <c r="H26" s="149"/>
      <c r="I26" s="149"/>
      <c r="J26" s="149"/>
      <c r="K26" s="149"/>
      <c r="L26" s="149"/>
      <c r="M26" s="115"/>
      <c r="N26" s="372"/>
      <c r="O26" s="374"/>
      <c r="P26" s="373"/>
      <c r="Q26" s="135"/>
    </row>
    <row r="27" spans="1:17" ht="24" customHeight="1">
      <c r="A27" s="25">
        <f>'Chart of Accounts GL'!A38</f>
        <v>330</v>
      </c>
      <c r="B27" s="122" t="str">
        <f>'Chart of Accounts GL'!B38</f>
        <v>Retained Earnings</v>
      </c>
      <c r="C27" s="149"/>
      <c r="D27" s="149">
        <v>366000</v>
      </c>
      <c r="E27" s="149"/>
      <c r="F27" s="149"/>
      <c r="G27" s="149"/>
      <c r="H27" s="149"/>
      <c r="I27" s="149"/>
      <c r="J27" s="149"/>
      <c r="K27" s="149"/>
      <c r="L27" s="149"/>
      <c r="M27" s="115"/>
      <c r="N27" s="367"/>
      <c r="O27" s="369"/>
      <c r="P27" s="368"/>
      <c r="Q27" s="135"/>
    </row>
    <row r="28" spans="1:17" ht="24" customHeight="1">
      <c r="A28" s="25">
        <f>'Chart of Accounts GL'!A39</f>
        <v>340</v>
      </c>
      <c r="B28" s="122" t="str">
        <f>'Chart of Accounts GL'!B39</f>
        <v>Treasury Stock</v>
      </c>
      <c r="C28" s="149">
        <v>327500</v>
      </c>
      <c r="D28" s="149"/>
      <c r="E28" s="149"/>
      <c r="F28" s="149"/>
      <c r="G28" s="149"/>
      <c r="H28" s="149"/>
      <c r="I28" s="149"/>
      <c r="J28" s="149"/>
      <c r="K28" s="149"/>
      <c r="L28" s="149"/>
      <c r="M28" s="115"/>
      <c r="N28" s="367"/>
      <c r="O28" s="369"/>
      <c r="P28" s="368"/>
      <c r="Q28" s="135"/>
    </row>
    <row r="29" spans="1:17" ht="24" customHeight="1">
      <c r="A29" s="25">
        <f>'Chart of Accounts GL'!A42</f>
        <v>500</v>
      </c>
      <c r="B29" s="122" t="str">
        <f>'Chart of Accounts GL'!B42</f>
        <v>Sales</v>
      </c>
      <c r="C29" s="149"/>
      <c r="D29" s="149">
        <v>932875</v>
      </c>
      <c r="E29" s="149"/>
      <c r="F29" s="149"/>
      <c r="G29" s="149"/>
      <c r="H29" s="149"/>
      <c r="I29" s="149"/>
      <c r="J29" s="149"/>
      <c r="K29" s="149"/>
      <c r="L29" s="149"/>
      <c r="M29" s="115"/>
      <c r="N29" s="367"/>
      <c r="O29" s="369"/>
      <c r="P29" s="368"/>
      <c r="Q29" s="135"/>
    </row>
    <row r="30" spans="1:17" ht="24" customHeight="1">
      <c r="A30" s="25">
        <f>'Chart of Accounts GL'!A43</f>
        <v>510</v>
      </c>
      <c r="B30" s="122" t="str">
        <f>'Chart of Accounts GL'!B43</f>
        <v>Sales Discounts</v>
      </c>
      <c r="C30" s="149"/>
      <c r="D30" s="149"/>
      <c r="E30" s="149"/>
      <c r="F30" s="149"/>
      <c r="G30" s="149"/>
      <c r="H30" s="149"/>
      <c r="I30" s="149"/>
      <c r="J30" s="149"/>
      <c r="K30" s="149"/>
      <c r="L30" s="149"/>
      <c r="M30" s="115"/>
      <c r="N30" s="375"/>
      <c r="O30" s="369"/>
      <c r="P30" s="368"/>
      <c r="Q30" s="135"/>
    </row>
    <row r="31" spans="1:17" ht="24" customHeight="1">
      <c r="A31" s="25">
        <f>'Chart of Accounts GL'!A44</f>
        <v>511</v>
      </c>
      <c r="B31" s="122" t="str">
        <f>'Chart of Accounts GL'!B44</f>
        <v>Sales Returns &amp; Allowances</v>
      </c>
      <c r="C31" s="149">
        <v>12600</v>
      </c>
      <c r="D31" s="149"/>
      <c r="E31" s="149"/>
      <c r="F31" s="149"/>
      <c r="G31" s="149"/>
      <c r="H31" s="149"/>
      <c r="I31" s="149"/>
      <c r="J31" s="149"/>
      <c r="K31" s="149"/>
      <c r="L31" s="149"/>
      <c r="M31" s="115"/>
      <c r="N31" s="367"/>
      <c r="O31" s="369"/>
      <c r="P31" s="368"/>
      <c r="Q31" s="135"/>
    </row>
    <row r="32" spans="1:17" ht="24" customHeight="1">
      <c r="A32" s="25">
        <f>'Chart of Accounts GL'!A46</f>
        <v>600</v>
      </c>
      <c r="B32" s="122" t="str">
        <f>'Chart of Accounts GL'!B46</f>
        <v>Cost of Goods Sold</v>
      </c>
      <c r="C32" s="149"/>
      <c r="D32" s="149"/>
      <c r="E32" s="149"/>
      <c r="F32" s="149"/>
      <c r="G32" s="149"/>
      <c r="H32" s="149"/>
      <c r="I32" s="149"/>
      <c r="J32" s="149"/>
      <c r="K32" s="149"/>
      <c r="L32" s="149"/>
      <c r="M32" s="115"/>
      <c r="N32" s="365" t="s">
        <v>478</v>
      </c>
      <c r="O32" s="371">
        <v>12600</v>
      </c>
      <c r="P32" s="371">
        <v>932875</v>
      </c>
      <c r="Q32" s="135"/>
    </row>
    <row r="33" spans="1:17" ht="24" customHeight="1">
      <c r="A33" s="25">
        <f>'Chart of Accounts GL'!A48</f>
        <v>700</v>
      </c>
      <c r="B33" s="122" t="str">
        <f>'Chart of Accounts GL'!B48</f>
        <v>Wage Expense (hourly workers)</v>
      </c>
      <c r="C33" s="149"/>
      <c r="D33" s="149"/>
      <c r="E33" s="149"/>
      <c r="F33" s="149"/>
      <c r="G33" s="149"/>
      <c r="H33" s="149"/>
      <c r="I33" s="149"/>
      <c r="J33" s="149"/>
      <c r="K33" s="149"/>
      <c r="L33" s="149"/>
      <c r="M33" s="115"/>
      <c r="N33" s="367" t="s">
        <v>479</v>
      </c>
      <c r="O33" s="368"/>
      <c r="P33" s="369">
        <v>255525</v>
      </c>
      <c r="Q33" s="135"/>
    </row>
    <row r="34" spans="1:17" ht="24" customHeight="1">
      <c r="A34" s="25">
        <f>'Chart of Accounts GL'!A49</f>
        <v>701</v>
      </c>
      <c r="B34" s="122" t="str">
        <f>'Chart of Accounts GL'!B49</f>
        <v>Salaries Expense (Exempt Staff)</v>
      </c>
      <c r="C34" s="149"/>
      <c r="D34" s="149"/>
      <c r="E34" s="149"/>
      <c r="F34" s="149"/>
      <c r="G34" s="149"/>
      <c r="H34" s="149"/>
      <c r="I34" s="149"/>
      <c r="J34" s="149"/>
      <c r="K34" s="149"/>
      <c r="L34" s="149"/>
      <c r="M34" s="115"/>
      <c r="N34" s="367" t="s">
        <v>480</v>
      </c>
      <c r="O34" s="368"/>
      <c r="P34" s="369">
        <v>330000</v>
      </c>
      <c r="Q34" s="135"/>
    </row>
    <row r="35" spans="1:17" ht="24" customHeight="1">
      <c r="A35" s="25">
        <f>'Chart of Accounts GL'!A50</f>
        <v>702</v>
      </c>
      <c r="B35" s="122" t="str">
        <f>'Chart of Accounts GL'!B50</f>
        <v>Marketing Expense</v>
      </c>
      <c r="C35" s="149"/>
      <c r="D35" s="149"/>
      <c r="E35" s="149"/>
      <c r="F35" s="149"/>
      <c r="G35" s="149"/>
      <c r="H35" s="149"/>
      <c r="I35" s="149"/>
      <c r="J35" s="149"/>
      <c r="K35" s="149"/>
      <c r="L35" s="149"/>
      <c r="M35" s="115"/>
      <c r="N35" s="367" t="s">
        <v>481</v>
      </c>
      <c r="O35" s="368"/>
      <c r="P35" s="369">
        <v>347350</v>
      </c>
      <c r="Q35" s="135"/>
    </row>
    <row r="36" spans="1:17" ht="24" customHeight="1">
      <c r="A36" s="25">
        <f>'Chart of Accounts GL'!A51</f>
        <v>703</v>
      </c>
      <c r="B36" s="122" t="str">
        <f>'Chart of Accounts GL'!B51</f>
        <v>Travel and Entertainment Expense</v>
      </c>
      <c r="C36" s="149"/>
      <c r="D36" s="149"/>
      <c r="E36" s="149"/>
      <c r="F36" s="149"/>
      <c r="G36" s="149"/>
      <c r="H36" s="149"/>
      <c r="I36" s="149"/>
      <c r="J36" s="149"/>
      <c r="K36" s="149"/>
      <c r="L36" s="149"/>
      <c r="M36" s="115"/>
      <c r="N36" s="367" t="s">
        <v>482</v>
      </c>
      <c r="O36" s="369">
        <v>12600</v>
      </c>
      <c r="P36" s="368"/>
      <c r="Q36" s="135"/>
    </row>
    <row r="37" spans="1:17" ht="24" customHeight="1">
      <c r="A37" s="25">
        <f>'Chart of Accounts GL'!A52</f>
        <v>704</v>
      </c>
      <c r="B37" s="122" t="str">
        <f>'Chart of Accounts GL'!B52</f>
        <v>Bad Debt Expense</v>
      </c>
      <c r="C37" s="149"/>
      <c r="D37" s="149"/>
      <c r="E37" s="149"/>
      <c r="F37" s="149"/>
      <c r="G37" s="149"/>
      <c r="H37" s="149"/>
      <c r="I37" s="149"/>
      <c r="J37" s="149"/>
      <c r="K37" s="149"/>
      <c r="L37" s="149"/>
      <c r="M37" s="115"/>
      <c r="N37" s="365" t="s">
        <v>483</v>
      </c>
      <c r="O37" s="371">
        <v>418900</v>
      </c>
      <c r="P37" s="371">
        <v>40650</v>
      </c>
      <c r="Q37" s="135"/>
    </row>
    <row r="38" spans="1:17" ht="24" customHeight="1">
      <c r="A38" s="25">
        <f>'Chart of Accounts GL'!A53</f>
        <v>705</v>
      </c>
      <c r="B38" s="122" t="str">
        <f>'Chart of Accounts GL'!B53</f>
        <v>Property Tax Expense</v>
      </c>
      <c r="C38" s="150"/>
      <c r="D38" s="150"/>
      <c r="E38" s="150"/>
      <c r="F38" s="150"/>
      <c r="G38" s="149"/>
      <c r="H38" s="150"/>
      <c r="I38" s="149"/>
      <c r="J38" s="150"/>
      <c r="K38" s="150"/>
      <c r="L38" s="150"/>
      <c r="M38" s="115"/>
      <c r="N38" s="367" t="s">
        <v>484</v>
      </c>
      <c r="O38" s="369">
        <v>126850</v>
      </c>
      <c r="P38" s="368"/>
      <c r="Q38" s="135"/>
    </row>
    <row r="39" spans="1:17" ht="24" customHeight="1">
      <c r="A39" s="25">
        <f>'Chart of Accounts GL'!A54</f>
        <v>706</v>
      </c>
      <c r="B39" s="122" t="str">
        <f>'Chart of Accounts GL'!B54</f>
        <v>Office Maintenance &amp; Repair Expense</v>
      </c>
      <c r="C39" s="149"/>
      <c r="D39" s="149"/>
      <c r="E39" s="149"/>
      <c r="F39" s="149"/>
      <c r="G39" s="149"/>
      <c r="H39" s="149"/>
      <c r="I39" s="149"/>
      <c r="J39" s="149"/>
      <c r="K39" s="149"/>
      <c r="L39" s="149"/>
      <c r="M39" s="115"/>
      <c r="N39" s="367" t="s">
        <v>485</v>
      </c>
      <c r="O39" s="369">
        <v>156000</v>
      </c>
      <c r="P39" s="368"/>
      <c r="Q39" s="135"/>
    </row>
    <row r="40" spans="1:17" ht="24" customHeight="1">
      <c r="A40" s="25">
        <f>'Chart of Accounts GL'!A55</f>
        <v>707</v>
      </c>
      <c r="B40" s="122" t="str">
        <f>'Chart of Accounts GL'!B55</f>
        <v>Legal Expenses</v>
      </c>
      <c r="C40" s="149"/>
      <c r="D40" s="149"/>
      <c r="E40" s="149"/>
      <c r="F40" s="149"/>
      <c r="G40" s="149"/>
      <c r="H40" s="149"/>
      <c r="I40" s="149"/>
      <c r="J40" s="149"/>
      <c r="K40" s="149"/>
      <c r="L40" s="149"/>
      <c r="M40" s="115"/>
      <c r="N40" s="367" t="s">
        <v>486</v>
      </c>
      <c r="O40" s="369">
        <v>136050</v>
      </c>
      <c r="P40" s="368"/>
      <c r="Q40" s="135"/>
    </row>
    <row r="41" spans="1:17" ht="24" customHeight="1">
      <c r="A41" s="25">
        <f>'Chart of Accounts GL'!A56</f>
        <v>708</v>
      </c>
      <c r="B41" s="122" t="str">
        <f>'Chart of Accounts GL'!B56</f>
        <v>Insurance Expense</v>
      </c>
      <c r="C41" s="149"/>
      <c r="D41" s="149"/>
      <c r="E41" s="149"/>
      <c r="F41" s="149"/>
      <c r="G41" s="149"/>
      <c r="H41" s="149"/>
      <c r="I41" s="149"/>
      <c r="J41" s="149"/>
      <c r="K41" s="149"/>
      <c r="L41" s="149"/>
      <c r="M41" s="115"/>
      <c r="N41" s="367" t="s">
        <v>487</v>
      </c>
      <c r="O41" s="368"/>
      <c r="P41" s="369">
        <v>40650</v>
      </c>
      <c r="Q41" s="135"/>
    </row>
    <row r="42" spans="1:17" ht="24" customHeight="1">
      <c r="A42" s="25">
        <f>'Chart of Accounts GL'!A57</f>
        <v>709</v>
      </c>
      <c r="B42" s="122" t="str">
        <f>'Chart of Accounts GL'!B57</f>
        <v>Utilities Expense</v>
      </c>
      <c r="C42" s="149"/>
      <c r="D42" s="149"/>
      <c r="E42" s="149"/>
      <c r="F42" s="149"/>
      <c r="G42" s="149"/>
      <c r="H42" s="149"/>
      <c r="I42" s="149"/>
      <c r="J42" s="149"/>
      <c r="K42" s="149"/>
      <c r="L42" s="149"/>
      <c r="M42" s="115"/>
      <c r="N42" s="365" t="s">
        <v>488</v>
      </c>
      <c r="O42" s="371">
        <v>9500</v>
      </c>
      <c r="P42" s="370"/>
      <c r="Q42" s="135"/>
    </row>
    <row r="43" spans="1:17" ht="24" customHeight="1">
      <c r="A43" s="25">
        <f>'Chart of Accounts GL'!A58</f>
        <v>710</v>
      </c>
      <c r="B43" s="122" t="str">
        <f>'Chart of Accounts GL'!B58</f>
        <v>Office Supplies Expense</v>
      </c>
      <c r="C43" s="149"/>
      <c r="D43" s="149"/>
      <c r="E43" s="149"/>
      <c r="F43" s="149"/>
      <c r="G43" s="149"/>
      <c r="H43" s="149"/>
      <c r="I43" s="149"/>
      <c r="J43" s="149"/>
      <c r="K43" s="149"/>
      <c r="L43" s="149"/>
      <c r="M43" s="115"/>
      <c r="N43" s="367" t="s">
        <v>489</v>
      </c>
      <c r="O43" s="369">
        <v>9500</v>
      </c>
      <c r="P43" s="368"/>
      <c r="Q43" s="135"/>
    </row>
    <row r="44" spans="1:17" ht="24" customHeight="1">
      <c r="A44" s="25">
        <f>'Chart of Accounts GL'!A59</f>
        <v>711</v>
      </c>
      <c r="B44" s="122" t="str">
        <f>'Chart of Accounts GL'!B59</f>
        <v>Telecommunications Expense</v>
      </c>
      <c r="C44" s="149"/>
      <c r="D44" s="149"/>
      <c r="E44" s="149"/>
      <c r="F44" s="149"/>
      <c r="G44" s="149"/>
      <c r="H44" s="149"/>
      <c r="I44" s="149"/>
      <c r="J44" s="149"/>
      <c r="K44" s="149"/>
      <c r="L44" s="149"/>
      <c r="M44" s="115"/>
      <c r="N44" s="365" t="s">
        <v>490</v>
      </c>
      <c r="O44" s="370"/>
      <c r="P44" s="371">
        <v>3960</v>
      </c>
      <c r="Q44" s="135"/>
    </row>
    <row r="45" spans="1:17" ht="24" customHeight="1">
      <c r="A45" s="25">
        <f>'Chart of Accounts GL'!A60</f>
        <v>712</v>
      </c>
      <c r="B45" s="122" t="str">
        <f>'Chart of Accounts GL'!B60</f>
        <v>Depreciation Expense -  Equip &amp; Furniture - Warehouse</v>
      </c>
      <c r="C45" s="149"/>
      <c r="D45" s="149"/>
      <c r="E45" s="149"/>
      <c r="F45" s="149"/>
      <c r="G45" s="149"/>
      <c r="H45" s="149"/>
      <c r="I45" s="149"/>
      <c r="J45" s="149"/>
      <c r="K45" s="149"/>
      <c r="L45" s="149"/>
      <c r="M45" s="115"/>
      <c r="N45" s="367" t="s">
        <v>491</v>
      </c>
      <c r="O45" s="368"/>
      <c r="P45" s="369">
        <v>2160</v>
      </c>
      <c r="Q45" s="135"/>
    </row>
    <row r="46" spans="1:17" ht="24" customHeight="1">
      <c r="A46" s="25">
        <f>'Chart of Accounts GL'!A61</f>
        <v>713</v>
      </c>
      <c r="B46" s="122" t="str">
        <f>'Chart of Accounts GL'!B61</f>
        <v>Depreciation Expense - Equip &amp; Furniture - Office</v>
      </c>
      <c r="C46" s="149"/>
      <c r="D46" s="149"/>
      <c r="E46" s="149"/>
      <c r="F46" s="149"/>
      <c r="G46" s="149"/>
      <c r="H46" s="149"/>
      <c r="I46" s="149"/>
      <c r="J46" s="149"/>
      <c r="K46" s="149"/>
      <c r="L46" s="149"/>
      <c r="M46" s="115"/>
      <c r="N46" s="367" t="s">
        <v>492</v>
      </c>
      <c r="O46" s="368"/>
      <c r="P46" s="369">
        <v>1800</v>
      </c>
      <c r="Q46" s="135"/>
    </row>
    <row r="47" spans="1:17" ht="24" customHeight="1">
      <c r="A47" s="25">
        <f>'Chart of Accounts GL'!A63</f>
        <v>800</v>
      </c>
      <c r="B47" s="122" t="str">
        <f>'Chart of Accounts GL'!B63</f>
        <v>Rent Income</v>
      </c>
      <c r="C47" s="149"/>
      <c r="D47" s="149"/>
      <c r="E47" s="149"/>
      <c r="F47" s="149"/>
      <c r="G47" s="149"/>
      <c r="H47" s="149"/>
      <c r="I47" s="149"/>
      <c r="J47" s="149"/>
      <c r="K47" s="149"/>
      <c r="L47" s="149"/>
      <c r="M47" s="115"/>
      <c r="N47" s="365" t="s">
        <v>493</v>
      </c>
      <c r="O47" s="371">
        <v>129545</v>
      </c>
      <c r="P47" s="370"/>
      <c r="Q47" s="135"/>
    </row>
    <row r="48" spans="1:17" ht="24" customHeight="1">
      <c r="A48" s="25">
        <f>'Chart of Accounts GL'!A65</f>
        <v>900</v>
      </c>
      <c r="B48" s="122" t="str">
        <f>'Chart of Accounts GL'!B65</f>
        <v>Interest Expense</v>
      </c>
      <c r="C48" s="149"/>
      <c r="D48" s="149"/>
      <c r="E48" s="149"/>
      <c r="F48" s="149"/>
      <c r="G48" s="149"/>
      <c r="H48" s="149"/>
      <c r="I48" s="149"/>
      <c r="J48" s="149"/>
      <c r="K48" s="149"/>
      <c r="L48" s="149"/>
      <c r="M48" s="115"/>
      <c r="N48" s="367" t="s">
        <v>494</v>
      </c>
      <c r="O48" s="369">
        <v>5000</v>
      </c>
      <c r="P48" s="368"/>
      <c r="Q48" s="135"/>
    </row>
    <row r="49" spans="1:17" ht="24" customHeight="1">
      <c r="A49" s="25"/>
      <c r="B49" s="26" t="s">
        <v>138</v>
      </c>
      <c r="C49" s="242">
        <f t="shared" ref="C49:F49" si="0">SUM(C4:C48)</f>
        <v>3992890</v>
      </c>
      <c r="D49" s="242">
        <f t="shared" si="0"/>
        <v>6305825</v>
      </c>
      <c r="E49" s="242">
        <f t="shared" si="0"/>
        <v>0</v>
      </c>
      <c r="F49" s="242"/>
      <c r="G49" s="242"/>
      <c r="H49" s="242"/>
      <c r="I49" s="242"/>
      <c r="J49" s="242"/>
      <c r="K49" s="242"/>
      <c r="L49" s="242"/>
      <c r="M49" s="115"/>
      <c r="N49" s="367" t="s">
        <v>495</v>
      </c>
      <c r="O49" s="369">
        <v>4870</v>
      </c>
      <c r="P49" s="368"/>
      <c r="Q49" s="135"/>
    </row>
    <row r="50" spans="1:17" ht="24" customHeight="1">
      <c r="A50" s="25"/>
      <c r="B50" s="26" t="s">
        <v>139</v>
      </c>
      <c r="C50" s="149"/>
      <c r="D50" s="149"/>
      <c r="E50" s="149"/>
      <c r="F50" s="149"/>
      <c r="G50" s="149"/>
      <c r="H50" s="149"/>
      <c r="I50" s="242"/>
      <c r="J50" s="149"/>
      <c r="K50" s="149"/>
      <c r="L50" s="242"/>
      <c r="M50" s="115"/>
      <c r="N50" s="367" t="s">
        <v>305</v>
      </c>
      <c r="O50" s="369">
        <v>9250</v>
      </c>
      <c r="P50" s="368"/>
      <c r="Q50" s="135"/>
    </row>
    <row r="51" spans="1:17" ht="24" customHeight="1">
      <c r="A51" s="25"/>
      <c r="B51" s="26" t="s">
        <v>138</v>
      </c>
      <c r="C51" s="242"/>
      <c r="D51" s="149"/>
      <c r="E51" s="149"/>
      <c r="F51" s="149"/>
      <c r="G51" s="149"/>
      <c r="H51" s="149"/>
      <c r="I51" s="149"/>
      <c r="J51" s="149"/>
      <c r="K51" s="149"/>
      <c r="L51" s="149"/>
      <c r="M51" s="115"/>
      <c r="N51" s="367" t="s">
        <v>496</v>
      </c>
      <c r="O51" s="369">
        <v>5400</v>
      </c>
      <c r="P51" s="368"/>
      <c r="Q51" s="135"/>
    </row>
    <row r="52" spans="1:17" ht="24" customHeight="1">
      <c r="A52" s="25"/>
      <c r="B52" s="26" t="s">
        <v>138</v>
      </c>
      <c r="C52" s="149"/>
      <c r="D52" s="149"/>
      <c r="E52" s="149"/>
      <c r="F52" s="149"/>
      <c r="G52" s="149"/>
      <c r="H52" s="149"/>
      <c r="I52" s="149"/>
      <c r="J52" s="149"/>
      <c r="K52" s="149"/>
      <c r="L52" s="149"/>
      <c r="M52" s="115"/>
      <c r="N52" s="367" t="s">
        <v>497</v>
      </c>
      <c r="O52" s="369">
        <v>75000</v>
      </c>
      <c r="P52" s="368"/>
      <c r="Q52" s="135"/>
    </row>
    <row r="53" spans="1:17" ht="15.75">
      <c r="C53" s="115"/>
      <c r="D53" s="115"/>
      <c r="E53" s="115"/>
      <c r="F53" s="115"/>
      <c r="G53" s="115"/>
      <c r="H53" s="115"/>
      <c r="I53" s="115"/>
      <c r="J53" s="115"/>
      <c r="K53" s="115"/>
      <c r="L53" s="115"/>
      <c r="M53" s="115"/>
      <c r="N53" s="367" t="s">
        <v>498</v>
      </c>
      <c r="O53" s="369">
        <v>29000</v>
      </c>
      <c r="P53" s="368"/>
      <c r="Q53" s="135"/>
    </row>
    <row r="54" spans="1:17" ht="15.75">
      <c r="C54" s="115"/>
      <c r="D54" s="115"/>
      <c r="E54" s="115"/>
      <c r="F54" s="115"/>
      <c r="G54" s="115"/>
      <c r="H54" s="115"/>
      <c r="I54" s="115"/>
      <c r="J54" s="115"/>
      <c r="K54" s="115"/>
      <c r="L54" s="115"/>
      <c r="M54" s="115"/>
      <c r="N54" s="367" t="s">
        <v>499</v>
      </c>
      <c r="O54" s="369">
        <v>100</v>
      </c>
      <c r="P54" s="368"/>
      <c r="Q54" s="135"/>
    </row>
    <row r="55" spans="1:17" ht="15.75">
      <c r="C55" s="115"/>
      <c r="D55" s="115"/>
      <c r="E55" s="115"/>
      <c r="F55" s="115"/>
      <c r="G55" s="115"/>
      <c r="H55" s="115"/>
      <c r="I55" s="115"/>
      <c r="J55" s="115"/>
      <c r="K55" s="115"/>
      <c r="L55" s="115"/>
      <c r="M55" s="115"/>
      <c r="N55" s="367" t="s">
        <v>500</v>
      </c>
      <c r="O55" s="369">
        <v>925</v>
      </c>
      <c r="P55" s="368"/>
      <c r="Q55" s="135"/>
    </row>
    <row r="56" spans="1:17" ht="15.75">
      <c r="C56" s="115"/>
      <c r="D56" s="115"/>
      <c r="E56" s="115"/>
      <c r="F56" s="115"/>
      <c r="G56" s="115"/>
      <c r="H56" s="115"/>
      <c r="I56" s="115"/>
      <c r="J56" s="115"/>
      <c r="K56" s="115"/>
      <c r="L56" s="115"/>
      <c r="M56" s="115"/>
      <c r="N56" s="376" t="s">
        <v>501</v>
      </c>
      <c r="O56" s="366">
        <v>6350835</v>
      </c>
      <c r="P56" s="366">
        <v>6350835</v>
      </c>
      <c r="Q56" s="135"/>
    </row>
    <row r="57" spans="1:17">
      <c r="C57" s="115"/>
      <c r="D57" s="115"/>
      <c r="E57" s="115"/>
      <c r="F57" s="115"/>
      <c r="G57" s="115"/>
      <c r="H57" s="115"/>
      <c r="I57" s="115"/>
      <c r="J57" s="115"/>
      <c r="K57" s="115"/>
      <c r="L57" s="115"/>
      <c r="M57" s="115"/>
    </row>
    <row r="58" spans="1:17">
      <c r="C58" s="115"/>
      <c r="D58" s="115"/>
      <c r="E58" s="115"/>
      <c r="F58" s="115"/>
      <c r="G58" s="115"/>
      <c r="H58" s="115"/>
      <c r="I58" s="115"/>
      <c r="J58" s="115"/>
      <c r="K58" s="115"/>
      <c r="L58" s="115"/>
      <c r="M58" s="115"/>
    </row>
  </sheetData>
  <mergeCells count="2">
    <mergeCell ref="O2:P2"/>
    <mergeCell ref="O3:P3"/>
  </mergeCells>
  <pageMargins left="0.75" right="0.5" top="0.5" bottom="0.5" header="0.5" footer="0.5"/>
  <pageSetup scale="45"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1">
    <pageSetUpPr fitToPage="1"/>
  </sheetPr>
  <dimension ref="A2:P12"/>
  <sheetViews>
    <sheetView workbookViewId="0">
      <selection activeCell="O5" sqref="O5"/>
    </sheetView>
  </sheetViews>
  <sheetFormatPr defaultColWidth="8.85546875" defaultRowHeight="15"/>
  <cols>
    <col min="1" max="1" width="22.85546875" style="291" bestFit="1" customWidth="1"/>
    <col min="2" max="2" width="26.28515625" style="291" customWidth="1"/>
    <col min="3" max="6" width="8.85546875" style="291"/>
    <col min="7" max="7" width="8.85546875" style="291" customWidth="1"/>
    <col min="8" max="13" width="8.85546875" style="291"/>
    <col min="14" max="14" width="4.140625" style="291" customWidth="1"/>
    <col min="15" max="15" width="35.28515625" style="291" bestFit="1" customWidth="1"/>
    <col min="16" max="16384" width="8.85546875" style="291"/>
  </cols>
  <sheetData>
    <row r="2" spans="1:16" ht="26.25">
      <c r="O2" s="293" t="s">
        <v>151</v>
      </c>
    </row>
    <row r="3" spans="1:16" ht="26.25">
      <c r="O3" s="293" t="s">
        <v>152</v>
      </c>
    </row>
    <row r="4" spans="1:16" ht="23.25">
      <c r="O4" s="292" t="s">
        <v>477</v>
      </c>
    </row>
    <row r="5" spans="1:16" ht="23.25">
      <c r="O5" s="294"/>
      <c r="P5" s="294"/>
    </row>
    <row r="10" spans="1:16" ht="23.25">
      <c r="A10" s="295" t="s">
        <v>426</v>
      </c>
      <c r="B10" s="296"/>
    </row>
    <row r="11" spans="1:16" ht="23.25">
      <c r="A11" s="295" t="s">
        <v>455</v>
      </c>
      <c r="B11" s="297"/>
    </row>
    <row r="12" spans="1:16" ht="23.25">
      <c r="A12" s="295" t="s">
        <v>456</v>
      </c>
      <c r="B12" s="298"/>
    </row>
  </sheetData>
  <protectedRanges>
    <protectedRange sqref="B10:B12" name="Range1"/>
  </protectedRanges>
  <pageMargins left="0.7" right="0.7" top="0.75" bottom="0.75" header="0.3" footer="0.3"/>
  <pageSetup scale="65" orientation="portrait" horizontalDpi="4294967293" verticalDpi="300" r:id="rId1"/>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sheetPr codeName="Sheet19">
    <pageSetUpPr fitToPage="1"/>
  </sheetPr>
  <dimension ref="A1:C35"/>
  <sheetViews>
    <sheetView workbookViewId="0">
      <selection activeCell="A3" sqref="A3"/>
    </sheetView>
  </sheetViews>
  <sheetFormatPr defaultColWidth="8.85546875" defaultRowHeight="15"/>
  <cols>
    <col min="1" max="1" width="51" bestFit="1" customWidth="1"/>
    <col min="2" max="3" width="21" customWidth="1"/>
  </cols>
  <sheetData>
    <row r="1" spans="1:3">
      <c r="A1" s="5" t="str">
        <f>'Chart of Accounts GL'!A1</f>
        <v>AC Speed Corporation</v>
      </c>
      <c r="B1" s="5"/>
      <c r="C1" s="5"/>
    </row>
    <row r="2" spans="1:3">
      <c r="A2" s="5" t="s">
        <v>86</v>
      </c>
      <c r="B2" s="5"/>
      <c r="C2" s="5"/>
    </row>
    <row r="3" spans="1:3" ht="20.25" customHeight="1">
      <c r="A3" s="126"/>
      <c r="B3" s="126"/>
      <c r="C3" s="127"/>
    </row>
    <row r="4" spans="1:3" ht="20.25" customHeight="1">
      <c r="A4" s="320"/>
      <c r="B4" s="132"/>
      <c r="C4" s="132"/>
    </row>
    <row r="5" spans="1:3" ht="20.25" customHeight="1">
      <c r="A5" s="132"/>
      <c r="B5" s="132"/>
      <c r="C5" s="321"/>
    </row>
    <row r="6" spans="1:3" ht="20.25" customHeight="1">
      <c r="A6" s="132"/>
      <c r="B6" s="321"/>
      <c r="C6" s="132"/>
    </row>
    <row r="7" spans="1:3" ht="20.25" customHeight="1">
      <c r="A7" s="132"/>
      <c r="B7" s="322"/>
      <c r="C7" s="322"/>
    </row>
    <row r="8" spans="1:3" ht="20.25" customHeight="1">
      <c r="A8" s="132"/>
      <c r="B8" s="132"/>
      <c r="C8" s="321"/>
    </row>
    <row r="9" spans="1:3" ht="20.25" customHeight="1">
      <c r="A9" s="320"/>
      <c r="B9" s="132"/>
      <c r="C9" s="322"/>
    </row>
    <row r="10" spans="1:3" ht="20.25" customHeight="1">
      <c r="A10" s="320"/>
      <c r="B10" s="132"/>
      <c r="C10" s="321"/>
    </row>
    <row r="11" spans="1:3" ht="20.25" customHeight="1">
      <c r="A11" s="323"/>
      <c r="B11" s="132"/>
      <c r="C11" s="132"/>
    </row>
    <row r="12" spans="1:3" ht="20.25" customHeight="1">
      <c r="A12" s="132"/>
      <c r="B12" s="321"/>
      <c r="C12" s="132"/>
    </row>
    <row r="13" spans="1:3" ht="20.25" customHeight="1">
      <c r="A13" s="132"/>
      <c r="B13" s="321"/>
      <c r="C13" s="132"/>
    </row>
    <row r="14" spans="1:3" ht="20.25" customHeight="1">
      <c r="A14" s="132"/>
      <c r="B14" s="321"/>
      <c r="C14" s="132"/>
    </row>
    <row r="15" spans="1:3" ht="20.25" customHeight="1">
      <c r="A15" s="132"/>
      <c r="B15" s="321"/>
      <c r="C15" s="132"/>
    </row>
    <row r="16" spans="1:3" ht="20.25" customHeight="1">
      <c r="A16" s="132"/>
      <c r="B16" s="321"/>
      <c r="C16" s="132"/>
    </row>
    <row r="17" spans="1:3" ht="20.25" customHeight="1">
      <c r="A17" s="132"/>
      <c r="B17" s="321"/>
      <c r="C17" s="132"/>
    </row>
    <row r="18" spans="1:3" ht="20.25" customHeight="1">
      <c r="A18" s="132"/>
      <c r="B18" s="321"/>
      <c r="C18" s="132"/>
    </row>
    <row r="19" spans="1:3" ht="20.25" customHeight="1">
      <c r="A19" s="132"/>
      <c r="B19" s="321"/>
      <c r="C19" s="132"/>
    </row>
    <row r="20" spans="1:3" ht="20.25" customHeight="1">
      <c r="A20" s="132"/>
      <c r="B20" s="321"/>
      <c r="C20" s="132"/>
    </row>
    <row r="21" spans="1:3" ht="20.25" customHeight="1">
      <c r="A21" s="132"/>
      <c r="B21" s="321"/>
      <c r="C21" s="132"/>
    </row>
    <row r="22" spans="1:3" ht="20.25" customHeight="1">
      <c r="A22" s="132"/>
      <c r="B22" s="321"/>
      <c r="C22" s="132"/>
    </row>
    <row r="23" spans="1:3" ht="20.25" customHeight="1">
      <c r="A23" s="132"/>
      <c r="B23" s="321"/>
      <c r="C23" s="132"/>
    </row>
    <row r="24" spans="1:3" ht="20.25" customHeight="1">
      <c r="A24" s="132"/>
      <c r="B24" s="321"/>
      <c r="C24" s="132"/>
    </row>
    <row r="25" spans="1:3" ht="20.25" customHeight="1">
      <c r="A25" s="132"/>
      <c r="B25" s="322"/>
      <c r="C25" s="132"/>
    </row>
    <row r="26" spans="1:3" ht="20.25" customHeight="1">
      <c r="A26" s="132"/>
      <c r="B26" s="132"/>
      <c r="C26" s="322"/>
    </row>
    <row r="27" spans="1:3" ht="20.25" customHeight="1">
      <c r="A27" s="320"/>
      <c r="B27" s="132"/>
      <c r="C27" s="321"/>
    </row>
    <row r="28" spans="1:3" ht="20.25" customHeight="1">
      <c r="A28" s="320"/>
      <c r="B28" s="132"/>
      <c r="C28" s="132"/>
    </row>
    <row r="29" spans="1:3" ht="20.25" customHeight="1">
      <c r="A29" s="132"/>
      <c r="B29" s="321"/>
      <c r="C29" s="132"/>
    </row>
    <row r="30" spans="1:3" ht="20.25" customHeight="1">
      <c r="A30" s="132"/>
      <c r="B30" s="132"/>
      <c r="C30" s="132"/>
    </row>
    <row r="31" spans="1:3" ht="20.25" customHeight="1">
      <c r="A31" s="320"/>
      <c r="B31" s="132"/>
      <c r="C31" s="132"/>
    </row>
    <row r="32" spans="1:3" ht="20.25" customHeight="1">
      <c r="A32" s="132"/>
      <c r="B32" s="322"/>
      <c r="C32" s="132"/>
    </row>
    <row r="33" spans="1:3" ht="20.25" customHeight="1">
      <c r="A33" s="132"/>
      <c r="B33" s="132"/>
      <c r="C33" s="322"/>
    </row>
    <row r="34" spans="1:3" ht="20.25" customHeight="1">
      <c r="A34" s="132"/>
      <c r="B34" s="132"/>
      <c r="C34" s="132"/>
    </row>
    <row r="35" spans="1:3" ht="20.25" customHeight="1">
      <c r="A35" s="320"/>
      <c r="B35" s="132"/>
      <c r="C35" s="324"/>
    </row>
  </sheetData>
  <pageMargins left="0.7" right="0.7" top="0.75" bottom="0.75" header="0.3" footer="0.3"/>
  <pageSetup scale="97"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sheetPr codeName="Sheet20"/>
  <dimension ref="A1:C35"/>
  <sheetViews>
    <sheetView workbookViewId="0">
      <selection activeCell="A3" sqref="A3"/>
    </sheetView>
  </sheetViews>
  <sheetFormatPr defaultColWidth="8.85546875" defaultRowHeight="15"/>
  <cols>
    <col min="1" max="1" width="46.140625" customWidth="1"/>
    <col min="2" max="3" width="21" customWidth="1"/>
  </cols>
  <sheetData>
    <row r="1" spans="1:3">
      <c r="A1" s="5" t="str">
        <f>'Chart of Accounts GL'!A1</f>
        <v>AC Speed Corporation</v>
      </c>
      <c r="B1" s="5"/>
      <c r="C1" s="5"/>
    </row>
    <row r="2" spans="1:3">
      <c r="A2" s="5" t="s">
        <v>171</v>
      </c>
      <c r="B2" s="5"/>
      <c r="C2" s="5"/>
    </row>
    <row r="3" spans="1:3" ht="20.25" customHeight="1">
      <c r="A3" s="126"/>
      <c r="B3" s="126"/>
      <c r="C3" s="127"/>
    </row>
    <row r="4" spans="1:3" ht="20.25" customHeight="1">
      <c r="A4" s="325"/>
      <c r="B4" s="326"/>
      <c r="C4" s="325"/>
    </row>
    <row r="5" spans="1:3" ht="20.25" customHeight="1">
      <c r="A5" s="325"/>
      <c r="B5" s="327"/>
      <c r="C5" s="325"/>
    </row>
    <row r="6" spans="1:3" ht="20.25" customHeight="1">
      <c r="A6" s="325"/>
      <c r="B6" s="326"/>
      <c r="C6" s="325"/>
    </row>
    <row r="7" spans="1:3" ht="20.25" customHeight="1">
      <c r="A7" s="325"/>
      <c r="B7" s="327"/>
      <c r="C7" s="325"/>
    </row>
    <row r="8" spans="1:3" ht="20.25" customHeight="1">
      <c r="A8" s="325"/>
      <c r="B8" s="328"/>
      <c r="C8" s="325"/>
    </row>
    <row r="9" spans="1:3" ht="20.25" customHeight="1">
      <c r="A9" s="8"/>
      <c r="B9" s="8"/>
      <c r="C9" s="8"/>
    </row>
    <row r="10" spans="1:3" ht="20.25" customHeight="1">
      <c r="A10" s="8"/>
      <c r="B10" s="8"/>
      <c r="C10" s="8"/>
    </row>
    <row r="11" spans="1:3" ht="20.25" customHeight="1">
      <c r="A11" s="8"/>
      <c r="B11" s="8"/>
      <c r="C11" s="8"/>
    </row>
    <row r="12" spans="1:3" ht="20.25" customHeight="1">
      <c r="A12" s="8"/>
      <c r="B12" s="8"/>
      <c r="C12" s="8"/>
    </row>
    <row r="13" spans="1:3" ht="20.25" customHeight="1">
      <c r="A13" s="8"/>
      <c r="B13" s="8"/>
      <c r="C13" s="8"/>
    </row>
    <row r="14" spans="1:3" ht="20.25" customHeight="1">
      <c r="A14" s="8"/>
      <c r="B14" s="8"/>
      <c r="C14" s="8"/>
    </row>
    <row r="15" spans="1:3" ht="20.25" customHeight="1">
      <c r="A15" s="8"/>
      <c r="B15" s="8"/>
      <c r="C15" s="8"/>
    </row>
    <row r="16" spans="1:3" ht="20.25" customHeight="1">
      <c r="A16" s="8"/>
      <c r="B16" s="8"/>
      <c r="C16" s="8"/>
    </row>
    <row r="17" spans="1:3" ht="20.25" customHeight="1">
      <c r="A17" s="8"/>
      <c r="B17" s="8"/>
      <c r="C17" s="8"/>
    </row>
    <row r="18" spans="1:3" ht="20.25" customHeight="1">
      <c r="A18" s="8"/>
      <c r="B18" s="8"/>
      <c r="C18" s="8"/>
    </row>
    <row r="19" spans="1:3" ht="20.25" customHeight="1">
      <c r="A19" s="8"/>
      <c r="B19" s="8"/>
      <c r="C19" s="8"/>
    </row>
    <row r="20" spans="1:3" ht="20.25" customHeight="1">
      <c r="A20" s="8"/>
      <c r="B20" s="8"/>
      <c r="C20" s="8"/>
    </row>
    <row r="21" spans="1:3" ht="20.25" customHeight="1">
      <c r="A21" s="8"/>
      <c r="B21" s="8"/>
      <c r="C21" s="8"/>
    </row>
    <row r="22" spans="1:3" ht="20.25" customHeight="1">
      <c r="A22" s="8"/>
      <c r="B22" s="8"/>
      <c r="C22" s="8"/>
    </row>
    <row r="23" spans="1:3" ht="20.25" customHeight="1">
      <c r="A23" s="8"/>
      <c r="B23" s="8"/>
      <c r="C23" s="8"/>
    </row>
    <row r="24" spans="1:3" ht="20.25" customHeight="1">
      <c r="A24" s="8"/>
      <c r="B24" s="8"/>
      <c r="C24" s="8"/>
    </row>
    <row r="25" spans="1:3" ht="20.25" customHeight="1">
      <c r="A25" s="8"/>
      <c r="B25" s="8"/>
      <c r="C25" s="8"/>
    </row>
    <row r="26" spans="1:3" ht="20.25" customHeight="1">
      <c r="A26" s="8"/>
      <c r="B26" s="8"/>
      <c r="C26" s="8"/>
    </row>
    <row r="27" spans="1:3" ht="20.25" customHeight="1">
      <c r="A27" s="8"/>
      <c r="B27" s="8"/>
      <c r="C27" s="8"/>
    </row>
    <row r="28" spans="1:3" ht="20.25" customHeight="1">
      <c r="A28" s="8"/>
      <c r="B28" s="8"/>
      <c r="C28" s="8"/>
    </row>
    <row r="29" spans="1:3" ht="20.25" customHeight="1">
      <c r="A29" s="8"/>
      <c r="B29" s="8"/>
      <c r="C29" s="8"/>
    </row>
    <row r="30" spans="1:3" ht="20.25" customHeight="1">
      <c r="A30" s="8"/>
      <c r="B30" s="8"/>
      <c r="C30" s="8"/>
    </row>
    <row r="31" spans="1:3" ht="20.25" customHeight="1">
      <c r="A31" s="8"/>
      <c r="B31" s="8"/>
      <c r="C31" s="8"/>
    </row>
    <row r="32" spans="1:3" ht="20.25" customHeight="1">
      <c r="A32" s="8"/>
      <c r="B32" s="8"/>
      <c r="C32" s="8"/>
    </row>
    <row r="33" spans="1:3" ht="20.25" customHeight="1">
      <c r="A33" s="8"/>
      <c r="B33" s="8"/>
      <c r="C33" s="8"/>
    </row>
    <row r="34" spans="1:3" ht="20.25" customHeight="1">
      <c r="A34" s="8"/>
      <c r="B34" s="8"/>
      <c r="C34" s="8"/>
    </row>
    <row r="35" spans="1:3" ht="20.25" customHeight="1">
      <c r="A35" s="8"/>
      <c r="B35" s="8"/>
      <c r="C35" s="8"/>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sheetPr codeName="Sheet21">
    <pageSetUpPr fitToPage="1"/>
  </sheetPr>
  <dimension ref="A1:E54"/>
  <sheetViews>
    <sheetView workbookViewId="0">
      <selection activeCell="A9" sqref="A9"/>
    </sheetView>
  </sheetViews>
  <sheetFormatPr defaultColWidth="8.85546875" defaultRowHeight="15"/>
  <cols>
    <col min="1" max="1" width="46.140625" customWidth="1"/>
    <col min="2" max="4" width="21" customWidth="1"/>
  </cols>
  <sheetData>
    <row r="1" spans="1:4">
      <c r="A1" s="5" t="str">
        <f>'Chart of Accounts GL'!A1</f>
        <v>AC Speed Corporation</v>
      </c>
      <c r="B1" s="5"/>
      <c r="C1" s="5"/>
      <c r="D1" s="5"/>
    </row>
    <row r="2" spans="1:4">
      <c r="A2" s="5" t="s">
        <v>87</v>
      </c>
      <c r="B2" s="5"/>
      <c r="C2" s="5"/>
      <c r="D2" s="5"/>
    </row>
    <row r="3" spans="1:4" ht="20.25" customHeight="1">
      <c r="A3" s="129"/>
      <c r="B3" s="130"/>
      <c r="C3" s="130"/>
      <c r="D3" s="127"/>
    </row>
    <row r="4" spans="1:4" ht="20.25" customHeight="1">
      <c r="A4" s="329"/>
      <c r="B4" s="325"/>
      <c r="C4" s="325"/>
      <c r="D4" s="325"/>
    </row>
    <row r="5" spans="1:4" ht="20.25" customHeight="1">
      <c r="A5" s="330"/>
      <c r="B5" s="325"/>
      <c r="C5" s="325"/>
      <c r="D5" s="325"/>
    </row>
    <row r="6" spans="1:4" ht="20.25" customHeight="1">
      <c r="A6" s="325"/>
      <c r="B6" s="325"/>
      <c r="C6" s="331"/>
      <c r="D6" s="325"/>
    </row>
    <row r="7" spans="1:4" ht="20.25" customHeight="1">
      <c r="A7" s="325"/>
      <c r="B7" s="331"/>
      <c r="C7" s="325"/>
      <c r="D7" s="325"/>
    </row>
    <row r="8" spans="1:4" ht="20.25" customHeight="1">
      <c r="A8" s="325"/>
      <c r="B8" s="332"/>
      <c r="C8" s="331"/>
      <c r="D8" s="325"/>
    </row>
    <row r="9" spans="1:4" ht="20.25" customHeight="1">
      <c r="A9" s="325"/>
      <c r="B9" s="325"/>
      <c r="C9" s="331"/>
      <c r="D9" s="325"/>
    </row>
    <row r="10" spans="1:4" ht="20.25" customHeight="1">
      <c r="A10" s="325"/>
      <c r="B10" s="325"/>
      <c r="C10" s="331"/>
      <c r="D10" s="325"/>
    </row>
    <row r="11" spans="1:4" ht="20.25" customHeight="1">
      <c r="A11" s="325"/>
      <c r="B11" s="325"/>
      <c r="C11" s="332"/>
      <c r="D11" s="325"/>
    </row>
    <row r="12" spans="1:4" ht="20.25" customHeight="1">
      <c r="A12" s="325"/>
      <c r="B12" s="325"/>
      <c r="C12" s="331"/>
      <c r="D12" s="331"/>
    </row>
    <row r="13" spans="1:4" ht="20.25" customHeight="1">
      <c r="A13" s="325"/>
      <c r="B13" s="325"/>
      <c r="C13" s="325"/>
      <c r="D13" s="325"/>
    </row>
    <row r="14" spans="1:4" ht="20.25" customHeight="1">
      <c r="A14" s="330"/>
      <c r="B14" s="325"/>
      <c r="C14" s="325"/>
      <c r="D14" s="325"/>
    </row>
    <row r="15" spans="1:4" ht="20.25" customHeight="1">
      <c r="A15" s="325"/>
      <c r="B15" s="325"/>
      <c r="C15" s="331"/>
      <c r="D15" s="325"/>
    </row>
    <row r="16" spans="1:4" ht="20.25" customHeight="1">
      <c r="A16" s="325"/>
      <c r="B16" s="331"/>
      <c r="C16" s="325"/>
      <c r="D16" s="325"/>
    </row>
    <row r="17" spans="1:4" ht="20.25" customHeight="1">
      <c r="A17" s="325"/>
      <c r="B17" s="332"/>
      <c r="C17" s="331"/>
      <c r="D17" s="325"/>
    </row>
    <row r="18" spans="1:4" ht="20.25" customHeight="1">
      <c r="A18" s="325"/>
      <c r="B18" s="331"/>
      <c r="C18" s="325"/>
      <c r="D18" s="325"/>
    </row>
    <row r="19" spans="1:4" ht="20.25" customHeight="1">
      <c r="A19" s="325"/>
      <c r="B19" s="332"/>
      <c r="C19" s="331"/>
      <c r="D19" s="325"/>
    </row>
    <row r="20" spans="1:4" ht="20.25" customHeight="1">
      <c r="A20" s="325"/>
      <c r="B20" s="331"/>
      <c r="C20" s="325"/>
      <c r="D20" s="325"/>
    </row>
    <row r="21" spans="1:4" ht="20.25" customHeight="1">
      <c r="A21" s="325"/>
      <c r="B21" s="332"/>
      <c r="C21" s="332"/>
      <c r="D21" s="325"/>
    </row>
    <row r="22" spans="1:4" ht="20.25" customHeight="1">
      <c r="A22" s="325"/>
      <c r="B22" s="325"/>
      <c r="C22" s="325"/>
      <c r="D22" s="332"/>
    </row>
    <row r="23" spans="1:4" ht="20.25" customHeight="1">
      <c r="A23" s="325"/>
      <c r="B23" s="325"/>
      <c r="C23" s="325"/>
      <c r="D23" s="333"/>
    </row>
    <row r="24" spans="1:4" ht="20.25" customHeight="1">
      <c r="A24" s="325"/>
      <c r="B24" s="325"/>
      <c r="C24" s="325"/>
      <c r="D24" s="325"/>
    </row>
    <row r="25" spans="1:4" ht="20.25" customHeight="1">
      <c r="A25" s="329"/>
      <c r="B25" s="325"/>
      <c r="C25" s="325"/>
      <c r="D25" s="325"/>
    </row>
    <row r="26" spans="1:4" ht="20.25" customHeight="1">
      <c r="A26" s="329"/>
      <c r="B26" s="325"/>
      <c r="C26" s="325"/>
      <c r="D26" s="325"/>
    </row>
    <row r="27" spans="1:4" ht="20.25" customHeight="1">
      <c r="A27" s="330"/>
      <c r="B27" s="325"/>
      <c r="C27" s="325"/>
      <c r="D27" s="325"/>
    </row>
    <row r="28" spans="1:4" ht="20.25" customHeight="1">
      <c r="A28" s="325"/>
      <c r="B28" s="325"/>
      <c r="C28" s="331"/>
      <c r="D28" s="325"/>
    </row>
    <row r="29" spans="1:4" ht="20.25" customHeight="1">
      <c r="A29" s="325"/>
      <c r="B29" s="325"/>
      <c r="C29" s="331"/>
      <c r="D29" s="325"/>
    </row>
    <row r="30" spans="1:4" ht="20.25" customHeight="1">
      <c r="A30" s="325"/>
      <c r="B30" s="325"/>
      <c r="C30" s="331"/>
      <c r="D30" s="325"/>
    </row>
    <row r="31" spans="1:4" ht="20.25" customHeight="1">
      <c r="A31" s="325"/>
      <c r="B31" s="325"/>
      <c r="C31" s="331"/>
      <c r="D31" s="325"/>
    </row>
    <row r="32" spans="1:4" ht="20.25" customHeight="1">
      <c r="A32" s="325"/>
      <c r="B32" s="325"/>
      <c r="C32" s="331"/>
      <c r="D32" s="325"/>
    </row>
    <row r="33" spans="1:4" ht="20.25" customHeight="1">
      <c r="A33" s="325"/>
      <c r="B33" s="325"/>
      <c r="C33" s="332"/>
      <c r="D33" s="325"/>
    </row>
    <row r="34" spans="1:4" ht="20.25" customHeight="1">
      <c r="A34" s="325"/>
      <c r="B34" s="325"/>
      <c r="C34" s="325"/>
      <c r="D34" s="331"/>
    </row>
    <row r="35" spans="1:4" ht="20.25" customHeight="1">
      <c r="A35" s="325"/>
      <c r="B35" s="325"/>
      <c r="C35" s="325"/>
      <c r="D35" s="325"/>
    </row>
    <row r="36" spans="1:4" ht="20.25" customHeight="1">
      <c r="A36" s="330"/>
      <c r="B36" s="325"/>
      <c r="C36" s="325"/>
      <c r="D36" s="325"/>
    </row>
    <row r="37" spans="1:4" ht="20.25" customHeight="1">
      <c r="A37" s="325"/>
      <c r="B37" s="325"/>
      <c r="C37" s="331"/>
      <c r="D37" s="325"/>
    </row>
    <row r="38" spans="1:4" ht="20.25" customHeight="1">
      <c r="A38" s="325"/>
      <c r="B38" s="325"/>
      <c r="C38" s="331"/>
      <c r="D38" s="325"/>
    </row>
    <row r="39" spans="1:4" ht="20.25" customHeight="1">
      <c r="A39" s="325"/>
      <c r="B39" s="325"/>
      <c r="C39" s="332"/>
      <c r="D39" s="325"/>
    </row>
    <row r="40" spans="1:4" ht="20.25" customHeight="1">
      <c r="A40" s="325"/>
      <c r="B40" s="325"/>
      <c r="C40" s="325"/>
      <c r="D40" s="332"/>
    </row>
    <row r="41" spans="1:4" ht="20.25" customHeight="1">
      <c r="A41" s="325"/>
      <c r="B41" s="325"/>
      <c r="C41" s="325"/>
      <c r="D41" s="331"/>
    </row>
    <row r="42" spans="1:4" ht="20.25" customHeight="1">
      <c r="A42" s="325"/>
      <c r="B42" s="325"/>
      <c r="C42" s="325"/>
      <c r="D42" s="325"/>
    </row>
    <row r="43" spans="1:4" ht="20.25" customHeight="1">
      <c r="A43" s="329"/>
      <c r="B43" s="325"/>
      <c r="C43" s="325"/>
      <c r="D43" s="325"/>
    </row>
    <row r="44" spans="1:4" ht="20.25" customHeight="1">
      <c r="A44" s="325"/>
      <c r="B44" s="325"/>
      <c r="C44" s="325"/>
      <c r="D44" s="325"/>
    </row>
    <row r="45" spans="1:4" ht="20.25" customHeight="1">
      <c r="A45" s="325"/>
      <c r="B45" s="325"/>
      <c r="C45" s="325"/>
      <c r="D45" s="325"/>
    </row>
    <row r="46" spans="1:4" ht="20.25" customHeight="1">
      <c r="A46" s="325"/>
      <c r="B46" s="325"/>
      <c r="C46" s="331"/>
      <c r="D46" s="325"/>
    </row>
    <row r="47" spans="1:4" ht="20.25" customHeight="1">
      <c r="A47" s="325"/>
      <c r="B47" s="325"/>
      <c r="C47" s="325"/>
      <c r="D47" s="325"/>
    </row>
    <row r="48" spans="1:4" ht="20.25" customHeight="1">
      <c r="A48" s="325"/>
      <c r="B48" s="325"/>
      <c r="C48" s="325"/>
      <c r="D48" s="325"/>
    </row>
    <row r="49" spans="1:5" ht="20.25" customHeight="1">
      <c r="A49" s="325"/>
      <c r="B49" s="325"/>
      <c r="C49" s="325"/>
      <c r="D49" s="325"/>
    </row>
    <row r="50" spans="1:5" ht="20.25" customHeight="1">
      <c r="A50" s="325"/>
      <c r="B50" s="325"/>
      <c r="C50" s="331"/>
      <c r="D50" s="325"/>
    </row>
    <row r="51" spans="1:5" ht="20.25" customHeight="1">
      <c r="A51" s="325"/>
      <c r="B51" s="325"/>
      <c r="C51" s="332"/>
      <c r="D51" s="325"/>
    </row>
    <row r="52" spans="1:5" ht="20.25" customHeight="1">
      <c r="A52" s="325"/>
      <c r="B52" s="325"/>
      <c r="C52" s="325"/>
      <c r="D52" s="332"/>
    </row>
    <row r="53" spans="1:5" ht="20.25" customHeight="1">
      <c r="A53" s="325"/>
      <c r="B53" s="325"/>
      <c r="C53" s="325"/>
      <c r="D53" s="325"/>
    </row>
    <row r="54" spans="1:5" ht="20.25" customHeight="1">
      <c r="A54" s="325"/>
      <c r="B54" s="325"/>
      <c r="C54" s="325"/>
      <c r="D54" s="333"/>
      <c r="E54" s="316">
        <f>D54-D23</f>
        <v>0</v>
      </c>
    </row>
  </sheetData>
  <pageMargins left="0.7" right="0.7" top="0.75" bottom="0.75" header="0.3" footer="0.3"/>
  <pageSetup scale="65"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sheetPr codeName="Sheet26">
    <pageSetUpPr fitToPage="1"/>
  </sheetPr>
  <dimension ref="A1:D35"/>
  <sheetViews>
    <sheetView workbookViewId="0">
      <selection activeCell="A18" sqref="A18"/>
    </sheetView>
  </sheetViews>
  <sheetFormatPr defaultColWidth="8.85546875" defaultRowHeight="15"/>
  <cols>
    <col min="1" max="1" width="70.85546875" bestFit="1" customWidth="1"/>
    <col min="2" max="2" width="15" customWidth="1"/>
    <col min="3" max="3" width="16.42578125" customWidth="1"/>
  </cols>
  <sheetData>
    <row r="1" spans="1:3">
      <c r="A1" s="4" t="str">
        <f>'IS June 2013'!A1</f>
        <v>AC Speed Corporation</v>
      </c>
      <c r="B1" s="4"/>
      <c r="C1" s="4"/>
    </row>
    <row r="2" spans="1:3">
      <c r="A2" s="4" t="s">
        <v>174</v>
      </c>
      <c r="B2" s="4"/>
      <c r="C2" s="4"/>
    </row>
    <row r="3" spans="1:3">
      <c r="A3" s="4"/>
      <c r="B3" s="4"/>
      <c r="C3" s="4"/>
    </row>
    <row r="4" spans="1:3">
      <c r="A4" s="132"/>
      <c r="B4" s="133" t="s">
        <v>63</v>
      </c>
      <c r="C4" s="133" t="s">
        <v>64</v>
      </c>
    </row>
    <row r="5" spans="1:3">
      <c r="A5" s="325"/>
      <c r="B5" s="219"/>
      <c r="C5" s="219"/>
    </row>
    <row r="6" spans="1:3">
      <c r="A6" s="325"/>
      <c r="B6" s="219"/>
      <c r="C6" s="219"/>
    </row>
    <row r="7" spans="1:3">
      <c r="A7" s="325"/>
      <c r="B7" s="219"/>
      <c r="C7" s="219"/>
    </row>
    <row r="8" spans="1:3">
      <c r="A8" s="325"/>
      <c r="B8" s="219"/>
      <c r="C8" s="219"/>
    </row>
    <row r="9" spans="1:3">
      <c r="A9" s="325"/>
      <c r="B9" s="219"/>
      <c r="C9" s="219"/>
    </row>
    <row r="10" spans="1:3">
      <c r="A10" s="325"/>
      <c r="B10" s="219"/>
      <c r="C10" s="219"/>
    </row>
    <row r="11" spans="1:3">
      <c r="A11" s="325"/>
      <c r="B11" s="219"/>
      <c r="C11" s="219"/>
    </row>
    <row r="12" spans="1:3">
      <c r="A12" s="325"/>
      <c r="B12" s="219"/>
      <c r="C12" s="219"/>
    </row>
    <row r="13" spans="1:3">
      <c r="A13" s="325"/>
      <c r="B13" s="219"/>
      <c r="C13" s="219"/>
    </row>
    <row r="14" spans="1:3">
      <c r="A14" s="325"/>
      <c r="B14" s="219"/>
      <c r="C14" s="219"/>
    </row>
    <row r="15" spans="1:3">
      <c r="A15" s="325"/>
      <c r="B15" s="219"/>
      <c r="C15" s="219"/>
    </row>
    <row r="16" spans="1:3">
      <c r="A16" s="325"/>
      <c r="B16" s="219"/>
      <c r="C16" s="219"/>
    </row>
    <row r="17" spans="1:4">
      <c r="A17" s="325"/>
      <c r="B17" s="219"/>
      <c r="C17" s="219"/>
    </row>
    <row r="18" spans="1:4">
      <c r="A18" s="325"/>
      <c r="B18" s="219"/>
      <c r="C18" s="219"/>
    </row>
    <row r="19" spans="1:4">
      <c r="A19" s="325"/>
      <c r="B19" s="219"/>
      <c r="C19" s="219"/>
    </row>
    <row r="20" spans="1:4">
      <c r="A20" s="325"/>
      <c r="B20" s="219"/>
      <c r="C20" s="219"/>
    </row>
    <row r="21" spans="1:4">
      <c r="A21" s="325"/>
      <c r="B21" s="219"/>
      <c r="C21" s="219"/>
    </row>
    <row r="22" spans="1:4">
      <c r="A22" s="325"/>
      <c r="B22" s="219"/>
      <c r="C22" s="219"/>
    </row>
    <row r="23" spans="1:4">
      <c r="A23" s="325"/>
      <c r="B23" s="219"/>
      <c r="C23" s="219"/>
    </row>
    <row r="24" spans="1:4">
      <c r="A24" s="325"/>
      <c r="B24" s="219"/>
      <c r="C24" s="219"/>
    </row>
    <row r="25" spans="1:4">
      <c r="A25" s="325"/>
      <c r="B25" s="219"/>
      <c r="C25" s="219"/>
    </row>
    <row r="26" spans="1:4">
      <c r="A26" s="325"/>
      <c r="B26" s="219"/>
      <c r="C26" s="219"/>
    </row>
    <row r="27" spans="1:4">
      <c r="A27" s="325"/>
      <c r="B27" s="219"/>
      <c r="C27" s="219"/>
    </row>
    <row r="28" spans="1:4">
      <c r="A28" s="325"/>
      <c r="B28" s="219"/>
      <c r="C28" s="219"/>
    </row>
    <row r="29" spans="1:4">
      <c r="A29" s="325"/>
      <c r="B29" s="220"/>
      <c r="C29" s="220"/>
    </row>
    <row r="30" spans="1:4">
      <c r="A30" s="325"/>
      <c r="B30" s="334"/>
      <c r="C30" s="334"/>
      <c r="D30" s="114">
        <f>C30-B30</f>
        <v>0</v>
      </c>
    </row>
    <row r="31" spans="1:4">
      <c r="A31" s="325"/>
      <c r="B31" s="166"/>
      <c r="C31" s="166"/>
    </row>
    <row r="32" spans="1:4">
      <c r="A32" s="132"/>
      <c r="B32" s="112"/>
      <c r="C32" s="8"/>
    </row>
    <row r="33" spans="1:3">
      <c r="A33" s="132"/>
      <c r="B33" s="8"/>
      <c r="C33" s="112"/>
    </row>
    <row r="34" spans="1:3">
      <c r="A34" s="132"/>
      <c r="B34" s="8"/>
      <c r="C34" s="8"/>
    </row>
    <row r="35" spans="1:3">
      <c r="A35" s="132"/>
      <c r="B35" s="8"/>
      <c r="C35" s="128"/>
    </row>
  </sheetData>
  <pageMargins left="0.7" right="0.7" top="0.75" bottom="0.75" header="0.3" footer="0.3"/>
  <pageSetup scale="81"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sheetPr codeName="Sheet24">
    <pageSetUpPr fitToPage="1"/>
  </sheetPr>
  <dimension ref="A1:M60"/>
  <sheetViews>
    <sheetView topLeftCell="A21" zoomScale="80" zoomScaleNormal="80" zoomScalePageLayoutView="80" workbookViewId="0">
      <selection activeCell="G41" sqref="G41"/>
    </sheetView>
  </sheetViews>
  <sheetFormatPr defaultColWidth="11.28515625" defaultRowHeight="15"/>
  <cols>
    <col min="1" max="1" width="10.28515625" style="24" bestFit="1" customWidth="1"/>
    <col min="2" max="2" width="57" style="22" bestFit="1" customWidth="1"/>
    <col min="3" max="10" width="13.5703125" style="22" bestFit="1" customWidth="1"/>
    <col min="11" max="12" width="12.42578125" style="22" bestFit="1" customWidth="1"/>
    <col min="13" max="13" width="10.28515625" style="22" bestFit="1" customWidth="1"/>
    <col min="14" max="248" width="9.140625" style="22" customWidth="1"/>
    <col min="249" max="249" width="10.28515625" style="22" bestFit="1" customWidth="1"/>
    <col min="250" max="250" width="47.85546875" style="22" bestFit="1" customWidth="1"/>
    <col min="251" max="16384" width="11.28515625" style="22"/>
  </cols>
  <sheetData>
    <row r="1" spans="1:13" hidden="1">
      <c r="B1" s="22" t="s">
        <v>161</v>
      </c>
      <c r="C1" s="111">
        <v>1.1200000000000001</v>
      </c>
      <c r="D1" s="111">
        <v>1.1200000000000001</v>
      </c>
      <c r="E1" s="111">
        <v>1.06</v>
      </c>
      <c r="F1" s="111">
        <v>1.06</v>
      </c>
      <c r="G1" s="111">
        <v>1.1000000000000001</v>
      </c>
      <c r="H1" s="111">
        <v>1.1000000000000001</v>
      </c>
      <c r="I1" s="111">
        <v>1.0900000000000001</v>
      </c>
      <c r="J1" s="111">
        <v>1.0900000000000001</v>
      </c>
    </row>
    <row r="2" spans="1:13" hidden="1">
      <c r="B2" s="22" t="s">
        <v>162</v>
      </c>
      <c r="C2" s="22">
        <v>12</v>
      </c>
      <c r="D2" s="22">
        <v>12</v>
      </c>
      <c r="E2" s="111">
        <v>1.02</v>
      </c>
      <c r="F2" s="111">
        <v>1.02</v>
      </c>
      <c r="G2" s="111">
        <v>1.02</v>
      </c>
      <c r="H2" s="111">
        <f>G2</f>
        <v>1.02</v>
      </c>
      <c r="I2" s="111">
        <v>1.01</v>
      </c>
      <c r="J2" s="111">
        <v>1.01</v>
      </c>
    </row>
    <row r="3" spans="1:13">
      <c r="C3" s="87">
        <f>Data!K37</f>
        <v>41274</v>
      </c>
      <c r="D3" s="87"/>
      <c r="E3" s="92">
        <f>Data!L37</f>
        <v>40908</v>
      </c>
      <c r="F3" s="92"/>
      <c r="G3" s="97">
        <f>Data!M37</f>
        <v>40543</v>
      </c>
      <c r="H3" s="97"/>
      <c r="I3" s="97">
        <f>Data!N37</f>
        <v>40178</v>
      </c>
      <c r="J3" s="97"/>
      <c r="K3" s="102">
        <v>41060</v>
      </c>
      <c r="L3" s="102"/>
    </row>
    <row r="4" spans="1:13" s="40" customFormat="1" ht="12.75">
      <c r="A4" s="43"/>
      <c r="B4" s="44"/>
      <c r="C4" s="88" t="s">
        <v>75</v>
      </c>
      <c r="D4" s="89"/>
      <c r="E4" s="93" t="s">
        <v>75</v>
      </c>
      <c r="F4" s="94"/>
      <c r="G4" s="98" t="s">
        <v>75</v>
      </c>
      <c r="H4" s="99"/>
      <c r="I4" s="98" t="s">
        <v>75</v>
      </c>
      <c r="J4" s="99"/>
      <c r="K4" s="103" t="s">
        <v>75</v>
      </c>
      <c r="L4" s="104"/>
    </row>
    <row r="5" spans="1:13" s="40" customFormat="1" ht="12.75">
      <c r="A5" s="46"/>
      <c r="B5" s="47"/>
      <c r="C5" s="90" t="s">
        <v>78</v>
      </c>
      <c r="D5" s="91"/>
      <c r="E5" s="95" t="s">
        <v>78</v>
      </c>
      <c r="F5" s="96"/>
      <c r="G5" s="100" t="s">
        <v>78</v>
      </c>
      <c r="H5" s="101"/>
      <c r="I5" s="100" t="s">
        <v>78</v>
      </c>
      <c r="J5" s="101"/>
      <c r="K5" s="105" t="s">
        <v>78</v>
      </c>
      <c r="L5" s="106"/>
    </row>
    <row r="6" spans="1:13" s="24" customFormat="1">
      <c r="A6" s="199" t="s">
        <v>82</v>
      </c>
      <c r="B6" s="199" t="s">
        <v>83</v>
      </c>
      <c r="C6" s="200" t="s">
        <v>84</v>
      </c>
      <c r="D6" s="200" t="s">
        <v>85</v>
      </c>
      <c r="E6" s="201" t="s">
        <v>84</v>
      </c>
      <c r="F6" s="201" t="s">
        <v>85</v>
      </c>
      <c r="G6" s="202" t="s">
        <v>84</v>
      </c>
      <c r="H6" s="202" t="s">
        <v>85</v>
      </c>
      <c r="I6" s="202" t="s">
        <v>84</v>
      </c>
      <c r="J6" s="202" t="s">
        <v>85</v>
      </c>
      <c r="K6" s="203" t="s">
        <v>84</v>
      </c>
      <c r="L6" s="203" t="s">
        <v>85</v>
      </c>
    </row>
    <row r="7" spans="1:13" ht="24" customHeight="1">
      <c r="A7" s="204">
        <f>'[1]Chart of Accounts GL'!A9</f>
        <v>100</v>
      </c>
      <c r="B7" s="205" t="str">
        <f>'Chart of Accounts GL'!B9</f>
        <v>Cash</v>
      </c>
      <c r="C7" s="206">
        <f>($C$1*K7)+210000+5000</f>
        <v>299000</v>
      </c>
      <c r="D7" s="206">
        <f>$D$1*L7</f>
        <v>0</v>
      </c>
      <c r="E7" s="207">
        <f>($E$1*C7)</f>
        <v>316940</v>
      </c>
      <c r="F7" s="207">
        <f>$F$1*D7</f>
        <v>0</v>
      </c>
      <c r="G7" s="208">
        <f>G$1*E7</f>
        <v>348634</v>
      </c>
      <c r="H7" s="208">
        <f>H$1*F7</f>
        <v>0</v>
      </c>
      <c r="I7" s="208">
        <f>I$1*G7</f>
        <v>380011.06000000006</v>
      </c>
      <c r="J7" s="208">
        <f>J$1*H7</f>
        <v>0</v>
      </c>
      <c r="K7" s="209">
        <f>'General Ledger'!F4</f>
        <v>75000</v>
      </c>
      <c r="L7" s="209"/>
    </row>
    <row r="8" spans="1:13" ht="24" customHeight="1">
      <c r="A8" s="204">
        <f>'[1]Chart of Accounts GL'!A10</f>
        <v>102</v>
      </c>
      <c r="B8" s="205" t="str">
        <f>'Chart of Accounts GL'!B10</f>
        <v>Accounts Receivable</v>
      </c>
      <c r="C8" s="206">
        <f>($C$1*K8)+250000+150000</f>
        <v>948800</v>
      </c>
      <c r="D8" s="206">
        <f t="shared" ref="D8:D31" si="0">$D$1*L8</f>
        <v>0</v>
      </c>
      <c r="E8" s="207">
        <f>$E$1*(C8-150000)</f>
        <v>846728</v>
      </c>
      <c r="F8" s="207">
        <f t="shared" ref="F8:F27" si="1">$F$1*D8</f>
        <v>0</v>
      </c>
      <c r="G8" s="208">
        <f>(G$1*E8)</f>
        <v>931400.8</v>
      </c>
      <c r="H8" s="208">
        <f t="shared" ref="H8:H13" si="2">H$1*F8</f>
        <v>0</v>
      </c>
      <c r="I8" s="208">
        <f>((I$1*G8))</f>
        <v>1015226.8720000001</v>
      </c>
      <c r="J8" s="208">
        <f t="shared" ref="J8:J13" si="3">J$1*H8</f>
        <v>0</v>
      </c>
      <c r="K8" s="209">
        <f>'General Ledger'!F17</f>
        <v>490000</v>
      </c>
      <c r="L8" s="209"/>
      <c r="M8" s="115">
        <f>J56</f>
        <v>0</v>
      </c>
    </row>
    <row r="9" spans="1:13" ht="24" customHeight="1">
      <c r="A9" s="204">
        <f>'[1]Chart of Accounts GL'!A11</f>
        <v>103</v>
      </c>
      <c r="B9" s="205" t="str">
        <f>'Chart of Accounts GL'!B11</f>
        <v>Allowance for Doubtful Accounts</v>
      </c>
      <c r="C9" s="206">
        <f t="shared" ref="C9:C31" si="4">$C$1*K9</f>
        <v>0</v>
      </c>
      <c r="D9" s="206">
        <f t="shared" si="0"/>
        <v>16800</v>
      </c>
      <c r="E9" s="207">
        <f t="shared" ref="E9:E27" si="5">$E$1*C9</f>
        <v>0</v>
      </c>
      <c r="F9" s="207">
        <f t="shared" si="1"/>
        <v>17808</v>
      </c>
      <c r="G9" s="208">
        <f>G$1*E9</f>
        <v>0</v>
      </c>
      <c r="H9" s="208">
        <f>H$1*F9</f>
        <v>19588.800000000003</v>
      </c>
      <c r="I9" s="208">
        <f>I$1*G9</f>
        <v>0</v>
      </c>
      <c r="J9" s="208">
        <f t="shared" si="3"/>
        <v>21351.792000000005</v>
      </c>
      <c r="K9" s="209"/>
      <c r="L9" s="209">
        <f>'General Ledger'!G30</f>
        <v>15000</v>
      </c>
    </row>
    <row r="10" spans="1:13" ht="24" customHeight="1">
      <c r="A10" s="204">
        <f>'[1]Chart of Accounts GL'!A12</f>
        <v>104</v>
      </c>
      <c r="B10" s="205" t="str">
        <f>'Chart of Accounts GL'!B12</f>
        <v>Merchandise Inventory</v>
      </c>
      <c r="C10" s="206">
        <f>($C$1*K10)+227776</f>
        <v>601856</v>
      </c>
      <c r="D10" s="206">
        <f t="shared" si="0"/>
        <v>0</v>
      </c>
      <c r="E10" s="207">
        <f>($E$1*C10)</f>
        <v>637967.35999999999</v>
      </c>
      <c r="F10" s="207">
        <f t="shared" si="1"/>
        <v>0</v>
      </c>
      <c r="G10" s="208">
        <f>(G$1*E10)</f>
        <v>701764.09600000002</v>
      </c>
      <c r="H10" s="208">
        <f t="shared" si="2"/>
        <v>0</v>
      </c>
      <c r="I10" s="208">
        <f>(I$1*G10)</f>
        <v>764922.86464000004</v>
      </c>
      <c r="J10" s="208">
        <f t="shared" si="3"/>
        <v>0</v>
      </c>
      <c r="K10" s="209">
        <f>'General Ledger'!F42</f>
        <v>334000</v>
      </c>
      <c r="L10" s="209"/>
    </row>
    <row r="11" spans="1:13" ht="24" customHeight="1">
      <c r="A11" s="204">
        <f>'[1]Chart of Accounts GL'!A13</f>
        <v>105</v>
      </c>
      <c r="B11" s="205" t="str">
        <f>'Chart of Accounts GL'!B13</f>
        <v>Office Supplies</v>
      </c>
      <c r="C11" s="206">
        <f>($C$1*K11)</f>
        <v>2240</v>
      </c>
      <c r="D11" s="206">
        <f t="shared" si="0"/>
        <v>0</v>
      </c>
      <c r="E11" s="207">
        <f t="shared" si="5"/>
        <v>2374.4</v>
      </c>
      <c r="F11" s="207">
        <f t="shared" si="1"/>
        <v>0</v>
      </c>
      <c r="G11" s="208">
        <f>G$1*E11</f>
        <v>2611.84</v>
      </c>
      <c r="H11" s="208">
        <f t="shared" si="2"/>
        <v>0</v>
      </c>
      <c r="I11" s="208">
        <f>I$1*G11</f>
        <v>2846.9056000000005</v>
      </c>
      <c r="J11" s="208">
        <f t="shared" si="3"/>
        <v>0</v>
      </c>
      <c r="K11" s="209">
        <f>'General Ledger'!F56</f>
        <v>2000</v>
      </c>
      <c r="L11" s="209"/>
    </row>
    <row r="12" spans="1:13" ht="24" customHeight="1">
      <c r="A12" s="204">
        <f>'[1]Chart of Accounts GL'!A14</f>
        <v>106</v>
      </c>
      <c r="B12" s="205" t="str">
        <f>'Chart of Accounts GL'!B14</f>
        <v>Prepaid Insurance</v>
      </c>
      <c r="C12" s="206">
        <f t="shared" si="4"/>
        <v>15680.000000000002</v>
      </c>
      <c r="D12" s="206">
        <f t="shared" si="0"/>
        <v>0</v>
      </c>
      <c r="E12" s="207">
        <f t="shared" si="5"/>
        <v>16620.800000000003</v>
      </c>
      <c r="F12" s="207">
        <f t="shared" si="1"/>
        <v>0</v>
      </c>
      <c r="G12" s="208">
        <f>$G$1*E12</f>
        <v>18282.880000000005</v>
      </c>
      <c r="H12" s="208">
        <f t="shared" si="2"/>
        <v>0</v>
      </c>
      <c r="I12" s="208">
        <f>$G$1*G12</f>
        <v>20111.168000000005</v>
      </c>
      <c r="J12" s="208">
        <f t="shared" si="3"/>
        <v>0</v>
      </c>
      <c r="K12" s="209">
        <f>'General Ledger'!F69</f>
        <v>14000</v>
      </c>
      <c r="L12" s="209"/>
    </row>
    <row r="13" spans="1:13" ht="24" customHeight="1">
      <c r="A13" s="204">
        <f>'[1]Chart of Accounts GL'!A16</f>
        <v>140</v>
      </c>
      <c r="B13" s="210" t="str">
        <f>'Chart of Accounts GL'!B16</f>
        <v>Land</v>
      </c>
      <c r="C13" s="206">
        <f>K13</f>
        <v>2000600</v>
      </c>
      <c r="D13" s="206">
        <f t="shared" si="0"/>
        <v>0</v>
      </c>
      <c r="E13" s="207">
        <f>K13</f>
        <v>2000600</v>
      </c>
      <c r="F13" s="207">
        <f t="shared" si="1"/>
        <v>0</v>
      </c>
      <c r="G13" s="208">
        <f>$K13</f>
        <v>2000600</v>
      </c>
      <c r="H13" s="208">
        <f t="shared" si="2"/>
        <v>0</v>
      </c>
      <c r="I13" s="208">
        <f>$K13</f>
        <v>2000600</v>
      </c>
      <c r="J13" s="208">
        <f t="shared" si="3"/>
        <v>0</v>
      </c>
      <c r="K13" s="209">
        <f>'General Ledger'!F82</f>
        <v>2000600</v>
      </c>
      <c r="L13" s="209"/>
    </row>
    <row r="14" spans="1:13" ht="24" customHeight="1">
      <c r="A14" s="204">
        <f>'[1]Chart of Accounts GL'!A17</f>
        <v>145</v>
      </c>
      <c r="B14" s="210" t="str">
        <f>'Chart of Accounts GL'!B17</f>
        <v>Building</v>
      </c>
      <c r="C14" s="206">
        <f>E14</f>
        <v>1500000</v>
      </c>
      <c r="D14" s="206"/>
      <c r="E14" s="207">
        <f>G14</f>
        <v>1500000</v>
      </c>
      <c r="F14" s="207"/>
      <c r="G14" s="208">
        <f>$K14</f>
        <v>1500000</v>
      </c>
      <c r="H14" s="208"/>
      <c r="I14" s="208">
        <f>$K14</f>
        <v>1500000</v>
      </c>
      <c r="J14" s="208"/>
      <c r="K14" s="209">
        <f>'General Ledger'!F95</f>
        <v>1500000</v>
      </c>
      <c r="L14" s="209"/>
    </row>
    <row r="15" spans="1:13" ht="24" customHeight="1">
      <c r="A15" s="204">
        <f>'[1]Chart of Accounts GL'!A18</f>
        <v>146</v>
      </c>
      <c r="B15" s="210" t="str">
        <f>'Chart of Accounts GL'!B18</f>
        <v>Accumulated Depreciation - Building</v>
      </c>
      <c r="C15" s="206"/>
      <c r="D15" s="206">
        <f>F15</f>
        <v>1500000</v>
      </c>
      <c r="E15" s="207"/>
      <c r="F15" s="207">
        <f>H15</f>
        <v>1500000</v>
      </c>
      <c r="G15" s="208"/>
      <c r="H15" s="208">
        <f>L15</f>
        <v>1500000</v>
      </c>
      <c r="I15" s="208"/>
      <c r="J15" s="208">
        <v>1500000</v>
      </c>
      <c r="K15" s="209"/>
      <c r="L15" s="209">
        <f>'General Ledger'!G108</f>
        <v>1500000</v>
      </c>
    </row>
    <row r="16" spans="1:13" ht="24" customHeight="1">
      <c r="A16" s="204">
        <f>'[1]Chart of Accounts GL'!A19</f>
        <v>151</v>
      </c>
      <c r="B16" s="210" t="str">
        <f>'Chart of Accounts GL'!B19</f>
        <v>Equipment &amp; Furniture - Warehouse</v>
      </c>
      <c r="C16" s="206">
        <f t="shared" si="4"/>
        <v>11200.000000000002</v>
      </c>
      <c r="D16" s="206">
        <f t="shared" si="0"/>
        <v>0</v>
      </c>
      <c r="E16" s="207">
        <f t="shared" si="5"/>
        <v>11872.000000000002</v>
      </c>
      <c r="F16" s="207">
        <f t="shared" si="1"/>
        <v>0</v>
      </c>
      <c r="G16" s="208">
        <f t="shared" ref="G16:J27" si="6">G$1*E16</f>
        <v>13059.200000000003</v>
      </c>
      <c r="H16" s="208">
        <f t="shared" si="6"/>
        <v>0</v>
      </c>
      <c r="I16" s="208">
        <f t="shared" si="6"/>
        <v>14234.528000000004</v>
      </c>
      <c r="J16" s="208">
        <f>J$1*H16</f>
        <v>0</v>
      </c>
      <c r="K16" s="209">
        <f>'General Ledger'!F121</f>
        <v>10000</v>
      </c>
      <c r="L16" s="209"/>
    </row>
    <row r="17" spans="1:13" ht="24" customHeight="1">
      <c r="A17" s="204">
        <f>'[1]Chart of Accounts GL'!A20</f>
        <v>152</v>
      </c>
      <c r="B17" s="210" t="str">
        <f>'Chart of Accounts GL'!B20</f>
        <v>Accumulated Depreciation - Equip &amp; Furn. - Warehouse</v>
      </c>
      <c r="C17" s="206">
        <f t="shared" si="4"/>
        <v>0</v>
      </c>
      <c r="D17" s="206">
        <f t="shared" si="0"/>
        <v>2128</v>
      </c>
      <c r="E17" s="207">
        <f t="shared" si="5"/>
        <v>0</v>
      </c>
      <c r="F17" s="207">
        <f t="shared" si="1"/>
        <v>2255.6800000000003</v>
      </c>
      <c r="G17" s="208">
        <f t="shared" si="6"/>
        <v>0</v>
      </c>
      <c r="H17" s="208">
        <f t="shared" si="6"/>
        <v>2481.2480000000005</v>
      </c>
      <c r="I17" s="208">
        <f t="shared" si="6"/>
        <v>0</v>
      </c>
      <c r="J17" s="208">
        <f>J$1*H17</f>
        <v>2704.560320000001</v>
      </c>
      <c r="K17" s="209"/>
      <c r="L17" s="209">
        <f>'General Ledger'!G134</f>
        <v>1900</v>
      </c>
    </row>
    <row r="18" spans="1:13" ht="24" customHeight="1">
      <c r="A18" s="204">
        <f>'[1]Chart of Accounts GL'!A21</f>
        <v>153</v>
      </c>
      <c r="B18" s="210" t="str">
        <f>'Chart of Accounts GL'!B21</f>
        <v>Equipment &amp; Furniture - Office</v>
      </c>
      <c r="C18" s="206">
        <f t="shared" si="4"/>
        <v>9520</v>
      </c>
      <c r="D18" s="206">
        <f t="shared" si="0"/>
        <v>0</v>
      </c>
      <c r="E18" s="207">
        <f t="shared" si="5"/>
        <v>10091.200000000001</v>
      </c>
      <c r="F18" s="207">
        <f t="shared" si="1"/>
        <v>0</v>
      </c>
      <c r="G18" s="208">
        <f t="shared" si="6"/>
        <v>11100.320000000002</v>
      </c>
      <c r="H18" s="208">
        <f t="shared" si="6"/>
        <v>0</v>
      </c>
      <c r="I18" s="208">
        <f t="shared" si="6"/>
        <v>12099.348800000003</v>
      </c>
      <c r="J18" s="208">
        <f>J$1*H18</f>
        <v>0</v>
      </c>
      <c r="K18" s="209">
        <f>'General Ledger'!F147</f>
        <v>8500</v>
      </c>
      <c r="L18" s="209"/>
    </row>
    <row r="19" spans="1:13" ht="24" customHeight="1">
      <c r="A19" s="204">
        <f>'[1]Chart of Accounts GL'!A22</f>
        <v>154</v>
      </c>
      <c r="B19" s="210" t="str">
        <f>'Chart of Accounts GL'!B22</f>
        <v>Accumulated Depreciation - Equip &amp; Furn. - Office</v>
      </c>
      <c r="C19" s="206">
        <f t="shared" si="4"/>
        <v>0</v>
      </c>
      <c r="D19" s="206">
        <f t="shared" si="0"/>
        <v>1792.0000000000002</v>
      </c>
      <c r="E19" s="207">
        <f t="shared" si="5"/>
        <v>0</v>
      </c>
      <c r="F19" s="207">
        <f t="shared" si="1"/>
        <v>1899.5200000000004</v>
      </c>
      <c r="G19" s="208">
        <f t="shared" si="6"/>
        <v>0</v>
      </c>
      <c r="H19" s="208">
        <f t="shared" si="6"/>
        <v>2089.4720000000007</v>
      </c>
      <c r="I19" s="208">
        <f t="shared" si="6"/>
        <v>0</v>
      </c>
      <c r="J19" s="208">
        <f>J$1*H19</f>
        <v>2277.5244800000009</v>
      </c>
      <c r="K19" s="209"/>
      <c r="L19" s="209">
        <f>'General Ledger'!G160</f>
        <v>1600</v>
      </c>
      <c r="M19" s="115"/>
    </row>
    <row r="20" spans="1:13" ht="24" customHeight="1">
      <c r="A20" s="204">
        <f>'[1]Chart of Accounts GL'!A26</f>
        <v>201</v>
      </c>
      <c r="B20" s="205" t="str">
        <f>'Chart of Accounts GL'!B26</f>
        <v>Accounts Payable</v>
      </c>
      <c r="C20" s="206">
        <f t="shared" si="4"/>
        <v>0</v>
      </c>
      <c r="D20" s="206">
        <f>$D$1*L20-250000</f>
        <v>812432</v>
      </c>
      <c r="E20" s="207">
        <f t="shared" si="5"/>
        <v>0</v>
      </c>
      <c r="F20" s="207">
        <f>$F$1*D20</f>
        <v>861177.92</v>
      </c>
      <c r="G20" s="208">
        <f t="shared" si="6"/>
        <v>0</v>
      </c>
      <c r="H20" s="208">
        <f>F20*H1</f>
        <v>947295.71200000017</v>
      </c>
      <c r="I20" s="208">
        <f t="shared" si="6"/>
        <v>0</v>
      </c>
      <c r="J20" s="208">
        <f>H20*J1-54214</f>
        <v>978338.32608000026</v>
      </c>
      <c r="K20" s="209"/>
      <c r="L20" s="209">
        <f>'General Ledger'!G173</f>
        <v>948600</v>
      </c>
    </row>
    <row r="21" spans="1:13" ht="24" customHeight="1">
      <c r="A21" s="204">
        <f>'[1]Chart of Accounts GL'!A27</f>
        <v>202</v>
      </c>
      <c r="B21" s="205" t="str">
        <f>'Chart of Accounts GL'!B27</f>
        <v>Wages Payable</v>
      </c>
      <c r="C21" s="206">
        <f t="shared" si="4"/>
        <v>0</v>
      </c>
      <c r="D21" s="206">
        <f t="shared" si="0"/>
        <v>0</v>
      </c>
      <c r="E21" s="207">
        <f t="shared" si="5"/>
        <v>0</v>
      </c>
      <c r="F21" s="207">
        <f t="shared" si="1"/>
        <v>0</v>
      </c>
      <c r="G21" s="208">
        <f t="shared" si="6"/>
        <v>0</v>
      </c>
      <c r="H21" s="208">
        <f t="shared" si="6"/>
        <v>0</v>
      </c>
      <c r="I21" s="208">
        <f t="shared" si="6"/>
        <v>0</v>
      </c>
      <c r="J21" s="208">
        <f t="shared" si="6"/>
        <v>0</v>
      </c>
      <c r="K21" s="209"/>
      <c r="L21" s="209">
        <f>'General Ledger'!G185</f>
        <v>0</v>
      </c>
    </row>
    <row r="22" spans="1:13" ht="24" customHeight="1">
      <c r="A22" s="204">
        <f>'[1]Chart of Accounts GL'!A28</f>
        <v>203</v>
      </c>
      <c r="B22" s="205" t="str">
        <f>'Chart of Accounts GL'!B28</f>
        <v>Interest Payable</v>
      </c>
      <c r="C22" s="206">
        <f t="shared" si="4"/>
        <v>0</v>
      </c>
      <c r="D22" s="206">
        <f t="shared" si="0"/>
        <v>0</v>
      </c>
      <c r="E22" s="207">
        <f t="shared" si="5"/>
        <v>0</v>
      </c>
      <c r="F22" s="207">
        <f t="shared" si="1"/>
        <v>0</v>
      </c>
      <c r="G22" s="208">
        <f t="shared" si="6"/>
        <v>0</v>
      </c>
      <c r="H22" s="208">
        <f t="shared" si="6"/>
        <v>0</v>
      </c>
      <c r="I22" s="208">
        <f t="shared" si="6"/>
        <v>0</v>
      </c>
      <c r="J22" s="208">
        <f t="shared" si="6"/>
        <v>0</v>
      </c>
      <c r="K22" s="209"/>
      <c r="L22" s="209">
        <f>'General Ledger'!G198</f>
        <v>0</v>
      </c>
    </row>
    <row r="23" spans="1:13" ht="24" customHeight="1">
      <c r="A23" s="204">
        <f>'[1]Chart of Accounts GL'!A29</f>
        <v>204</v>
      </c>
      <c r="B23" s="205" t="str">
        <f>'Chart of Accounts GL'!B29</f>
        <v>Dividends Payable</v>
      </c>
      <c r="C23" s="206">
        <f t="shared" si="4"/>
        <v>0</v>
      </c>
      <c r="D23" s="206">
        <f t="shared" si="0"/>
        <v>0</v>
      </c>
      <c r="E23" s="207">
        <f t="shared" si="5"/>
        <v>0</v>
      </c>
      <c r="F23" s="207">
        <f t="shared" si="1"/>
        <v>0</v>
      </c>
      <c r="G23" s="208">
        <f t="shared" si="6"/>
        <v>0</v>
      </c>
      <c r="H23" s="208">
        <f t="shared" si="6"/>
        <v>0</v>
      </c>
      <c r="I23" s="208">
        <f t="shared" si="6"/>
        <v>0</v>
      </c>
      <c r="J23" s="208">
        <f t="shared" si="6"/>
        <v>0</v>
      </c>
      <c r="K23" s="209"/>
      <c r="L23" s="209">
        <v>0</v>
      </c>
    </row>
    <row r="24" spans="1:13" ht="24" customHeight="1">
      <c r="A24" s="204">
        <f>'[1]Chart of Accounts GL'!A30</f>
        <v>205</v>
      </c>
      <c r="B24" s="205" t="str">
        <f>'Chart of Accounts GL'!B30</f>
        <v>Unearned Rent</v>
      </c>
      <c r="C24" s="206">
        <f t="shared" si="4"/>
        <v>0</v>
      </c>
      <c r="D24" s="206">
        <f t="shared" si="0"/>
        <v>0</v>
      </c>
      <c r="E24" s="207">
        <f t="shared" si="5"/>
        <v>0</v>
      </c>
      <c r="F24" s="207">
        <f t="shared" si="1"/>
        <v>0</v>
      </c>
      <c r="G24" s="208">
        <f t="shared" si="6"/>
        <v>0</v>
      </c>
      <c r="H24" s="208">
        <f t="shared" si="6"/>
        <v>0</v>
      </c>
      <c r="I24" s="208">
        <f t="shared" si="6"/>
        <v>0</v>
      </c>
      <c r="J24" s="208">
        <f t="shared" si="6"/>
        <v>0</v>
      </c>
      <c r="K24" s="209"/>
      <c r="L24" s="209">
        <v>0</v>
      </c>
    </row>
    <row r="25" spans="1:13" ht="24" customHeight="1">
      <c r="A25" s="204">
        <f>'[1]Chart of Accounts GL'!A32</f>
        <v>250</v>
      </c>
      <c r="B25" s="205" t="str">
        <f>'Chart of Accounts GL'!B32</f>
        <v>Notes Payable</v>
      </c>
      <c r="C25" s="206">
        <f t="shared" si="4"/>
        <v>0</v>
      </c>
      <c r="D25" s="206">
        <f t="shared" si="0"/>
        <v>0</v>
      </c>
      <c r="E25" s="207">
        <f t="shared" si="5"/>
        <v>0</v>
      </c>
      <c r="F25" s="207">
        <f t="shared" si="1"/>
        <v>0</v>
      </c>
      <c r="G25" s="208">
        <f t="shared" si="6"/>
        <v>0</v>
      </c>
      <c r="H25" s="208">
        <f t="shared" si="6"/>
        <v>0</v>
      </c>
      <c r="I25" s="208">
        <f t="shared" si="6"/>
        <v>0</v>
      </c>
      <c r="J25" s="208">
        <f t="shared" si="6"/>
        <v>0</v>
      </c>
      <c r="K25" s="209"/>
      <c r="L25" s="209">
        <v>0</v>
      </c>
    </row>
    <row r="26" spans="1:13" ht="24" customHeight="1">
      <c r="A26" s="204">
        <f>'[1]Chart of Accounts GL'!A33</f>
        <v>251</v>
      </c>
      <c r="B26" s="205" t="str">
        <f>'Chart of Accounts GL'!B33</f>
        <v>Bonds Payable</v>
      </c>
      <c r="C26" s="206">
        <f t="shared" si="4"/>
        <v>0</v>
      </c>
      <c r="D26" s="206">
        <f t="shared" si="0"/>
        <v>0</v>
      </c>
      <c r="E26" s="207">
        <f t="shared" si="5"/>
        <v>0</v>
      </c>
      <c r="F26" s="207">
        <f t="shared" si="1"/>
        <v>0</v>
      </c>
      <c r="G26" s="208">
        <f t="shared" si="6"/>
        <v>0</v>
      </c>
      <c r="H26" s="208">
        <f t="shared" si="6"/>
        <v>0</v>
      </c>
      <c r="I26" s="208">
        <f t="shared" si="6"/>
        <v>0</v>
      </c>
      <c r="J26" s="208">
        <f t="shared" si="6"/>
        <v>0</v>
      </c>
      <c r="K26" s="209"/>
      <c r="L26" s="209">
        <v>0</v>
      </c>
    </row>
    <row r="27" spans="1:13" ht="24" customHeight="1">
      <c r="A27" s="204">
        <f>'[1]Chart of Accounts GL'!A34</f>
        <v>252</v>
      </c>
      <c r="B27" s="205" t="str">
        <f>'Chart of Accounts GL'!B34</f>
        <v>Mortgage (Warehouse) Payable</v>
      </c>
      <c r="C27" s="206">
        <f t="shared" si="4"/>
        <v>0</v>
      </c>
      <c r="D27" s="206">
        <f>$D$1*L27-100000</f>
        <v>124000.00000000003</v>
      </c>
      <c r="E27" s="207">
        <f t="shared" si="5"/>
        <v>0</v>
      </c>
      <c r="F27" s="207">
        <f t="shared" si="1"/>
        <v>131440.00000000003</v>
      </c>
      <c r="G27" s="208">
        <f t="shared" si="6"/>
        <v>0</v>
      </c>
      <c r="H27" s="208">
        <f>H$1*F27</f>
        <v>144584.00000000006</v>
      </c>
      <c r="I27" s="208">
        <f t="shared" si="6"/>
        <v>0</v>
      </c>
      <c r="J27" s="208">
        <f>J$1*H27</f>
        <v>157596.56000000008</v>
      </c>
      <c r="K27" s="209"/>
      <c r="L27" s="209">
        <f>'General Ledger'!G259</f>
        <v>200000</v>
      </c>
    </row>
    <row r="28" spans="1:13" ht="24" customHeight="1">
      <c r="A28" s="204">
        <f>'[1]Chart of Accounts GL'!A36</f>
        <v>300</v>
      </c>
      <c r="B28" s="211" t="str">
        <f>'Chart of Accounts GL'!B36</f>
        <v>Common Stock, $1 Par, 100,000 Authorized; 60,000 shares Issued/Outstanding</v>
      </c>
      <c r="C28" s="206">
        <f t="shared" si="4"/>
        <v>0</v>
      </c>
      <c r="D28" s="206">
        <f>Data!K38</f>
        <v>65000</v>
      </c>
      <c r="E28" s="207">
        <f t="shared" ref="E28:H29" si="7">C28</f>
        <v>0</v>
      </c>
      <c r="F28" s="207">
        <f t="shared" si="7"/>
        <v>65000</v>
      </c>
      <c r="G28" s="208">
        <f t="shared" si="7"/>
        <v>0</v>
      </c>
      <c r="H28" s="208">
        <f t="shared" si="7"/>
        <v>65000</v>
      </c>
      <c r="I28" s="208">
        <f>G28</f>
        <v>0</v>
      </c>
      <c r="J28" s="208">
        <f>H28</f>
        <v>65000</v>
      </c>
      <c r="K28" s="209"/>
      <c r="L28" s="209">
        <f>'General Ledger'!G271</f>
        <v>60000</v>
      </c>
    </row>
    <row r="29" spans="1:13" ht="24" customHeight="1">
      <c r="A29" s="204">
        <f>'[1]Chart of Accounts GL'!A37</f>
        <v>301</v>
      </c>
      <c r="B29" s="205" t="str">
        <f>'Chart of Accounts GL'!B37</f>
        <v>Paid In Capital - Excess of Par</v>
      </c>
      <c r="C29" s="206">
        <f t="shared" si="4"/>
        <v>0</v>
      </c>
      <c r="D29" s="206">
        <f>Data!K39</f>
        <v>1545000</v>
      </c>
      <c r="E29" s="207">
        <f t="shared" si="7"/>
        <v>0</v>
      </c>
      <c r="F29" s="207">
        <f t="shared" si="7"/>
        <v>1545000</v>
      </c>
      <c r="G29" s="208">
        <f t="shared" si="7"/>
        <v>0</v>
      </c>
      <c r="H29" s="208">
        <f t="shared" si="7"/>
        <v>1545000</v>
      </c>
      <c r="I29" s="208">
        <f>G29</f>
        <v>0</v>
      </c>
      <c r="J29" s="208">
        <f>H29</f>
        <v>1545000</v>
      </c>
      <c r="K29" s="209"/>
      <c r="L29" s="209">
        <f>'General Ledger'!G284</f>
        <v>1341000</v>
      </c>
    </row>
    <row r="30" spans="1:13" ht="24" customHeight="1">
      <c r="A30" s="204">
        <f>'[1]Chart of Accounts GL'!A38</f>
        <v>330</v>
      </c>
      <c r="B30" s="205" t="str">
        <f>'Chart of Accounts GL'!B38</f>
        <v>Retained Earnings</v>
      </c>
      <c r="C30" s="206">
        <f t="shared" si="4"/>
        <v>0</v>
      </c>
      <c r="D30" s="206">
        <f>Data!K40+5000</f>
        <v>1171744</v>
      </c>
      <c r="E30" s="207"/>
      <c r="F30" s="207">
        <f>Data!L40+5300-0.36</f>
        <v>1071043.6399999999</v>
      </c>
      <c r="G30" s="208"/>
      <c r="H30" s="208">
        <f>Data!M40+5830-0.48</f>
        <v>961859.52</v>
      </c>
      <c r="I30" s="208"/>
      <c r="J30" s="208">
        <f>Data!N40+6355+0.06</f>
        <v>1244834.06</v>
      </c>
      <c r="K30" s="209"/>
      <c r="L30" s="209">
        <f>'General Ledger'!G296</f>
        <v>366000</v>
      </c>
      <c r="M30" s="335"/>
    </row>
    <row r="31" spans="1:13" ht="24" customHeight="1">
      <c r="A31" s="204">
        <f>'[1]Chart of Accounts GL'!A39</f>
        <v>340</v>
      </c>
      <c r="B31" s="205" t="str">
        <f>'Chart of Accounts GL'!B39</f>
        <v>Treasury Stock</v>
      </c>
      <c r="C31" s="206">
        <f t="shared" si="4"/>
        <v>0</v>
      </c>
      <c r="D31" s="206">
        <f t="shared" si="0"/>
        <v>0</v>
      </c>
      <c r="E31" s="207">
        <f t="shared" ref="E31:J31" si="8">C31</f>
        <v>0</v>
      </c>
      <c r="F31" s="207">
        <f t="shared" si="8"/>
        <v>0</v>
      </c>
      <c r="G31" s="208">
        <f t="shared" si="8"/>
        <v>0</v>
      </c>
      <c r="H31" s="208">
        <f t="shared" si="8"/>
        <v>0</v>
      </c>
      <c r="I31" s="208">
        <f t="shared" si="8"/>
        <v>0</v>
      </c>
      <c r="J31" s="208">
        <f t="shared" si="8"/>
        <v>0</v>
      </c>
      <c r="K31" s="209">
        <v>0</v>
      </c>
      <c r="L31" s="209">
        <v>0</v>
      </c>
    </row>
    <row r="32" spans="1:13" ht="24" customHeight="1">
      <c r="A32" s="204">
        <f>'[1]Chart of Accounts GL'!A42</f>
        <v>500</v>
      </c>
      <c r="B32" s="205" t="str">
        <f>'Chart of Accounts GL'!B42</f>
        <v>Sales</v>
      </c>
      <c r="C32" s="206">
        <f>K32*$C$2</f>
        <v>0</v>
      </c>
      <c r="D32" s="206">
        <f>(L32*$D$2)+150000</f>
        <v>8850000</v>
      </c>
      <c r="E32" s="207">
        <f>C32*$E$2</f>
        <v>0</v>
      </c>
      <c r="F32" s="207">
        <f>(D32-150000)*$F$2</f>
        <v>8874000</v>
      </c>
      <c r="G32" s="208">
        <f t="shared" ref="G32:I47" si="9">E32*G$2</f>
        <v>0</v>
      </c>
      <c r="H32" s="208">
        <f>(F32*H$2)</f>
        <v>9051480</v>
      </c>
      <c r="I32" s="208">
        <f t="shared" ref="I32:J47" si="10">G32*I$2</f>
        <v>0</v>
      </c>
      <c r="J32" s="208">
        <f>(H32*J$2)</f>
        <v>9141994.8000000007</v>
      </c>
      <c r="K32" s="209"/>
      <c r="L32" s="209">
        <f>Data!D38</f>
        <v>725000</v>
      </c>
    </row>
    <row r="33" spans="1:12" ht="24" customHeight="1">
      <c r="A33" s="204">
        <f>'[1]Chart of Accounts GL'!A43</f>
        <v>510</v>
      </c>
      <c r="B33" s="205" t="str">
        <f>'Chart of Accounts GL'!B43</f>
        <v>Sales Discounts</v>
      </c>
      <c r="C33" s="206">
        <f t="shared" ref="C33:C51" si="11">K33*$C$2</f>
        <v>0</v>
      </c>
      <c r="D33" s="206">
        <f t="shared" ref="D33:D51" si="12">L33*$D$2</f>
        <v>0</v>
      </c>
      <c r="E33" s="207">
        <f t="shared" ref="E33:E51" si="13">C33*$E$2</f>
        <v>0</v>
      </c>
      <c r="F33" s="207">
        <f t="shared" ref="F33:F51" si="14">D33*$F$2</f>
        <v>0</v>
      </c>
      <c r="G33" s="208">
        <f t="shared" si="9"/>
        <v>0</v>
      </c>
      <c r="H33" s="208">
        <f t="shared" si="9"/>
        <v>0</v>
      </c>
      <c r="I33" s="208">
        <f t="shared" si="10"/>
        <v>0</v>
      </c>
      <c r="J33" s="208">
        <f t="shared" si="10"/>
        <v>0</v>
      </c>
      <c r="K33" s="209">
        <v>0</v>
      </c>
      <c r="L33" s="209">
        <v>0</v>
      </c>
    </row>
    <row r="34" spans="1:12" ht="24" customHeight="1">
      <c r="A34" s="204">
        <f>'[1]Chart of Accounts GL'!A44</f>
        <v>511</v>
      </c>
      <c r="B34" s="205" t="str">
        <f>'Chart of Accounts GL'!B44</f>
        <v>Sales Returns &amp; Allowances</v>
      </c>
      <c r="C34" s="206">
        <f t="shared" si="11"/>
        <v>0</v>
      </c>
      <c r="D34" s="206">
        <f t="shared" si="12"/>
        <v>0</v>
      </c>
      <c r="E34" s="207">
        <f t="shared" si="13"/>
        <v>0</v>
      </c>
      <c r="F34" s="207">
        <f t="shared" si="14"/>
        <v>0</v>
      </c>
      <c r="G34" s="208">
        <f t="shared" si="9"/>
        <v>0</v>
      </c>
      <c r="H34" s="208">
        <f t="shared" si="9"/>
        <v>0</v>
      </c>
      <c r="I34" s="208">
        <f t="shared" si="10"/>
        <v>0</v>
      </c>
      <c r="J34" s="208">
        <f t="shared" si="10"/>
        <v>0</v>
      </c>
      <c r="K34" s="209">
        <v>0</v>
      </c>
      <c r="L34" s="209">
        <v>0</v>
      </c>
    </row>
    <row r="35" spans="1:12" ht="24" customHeight="1">
      <c r="A35" s="204">
        <f>'[1]Chart of Accounts GL'!A46</f>
        <v>600</v>
      </c>
      <c r="B35" s="205" t="str">
        <f>'Chart of Accounts GL'!B46</f>
        <v>Cost of Goods Sold</v>
      </c>
      <c r="C35" s="206">
        <f>K35*$C$2</f>
        <v>7656000</v>
      </c>
      <c r="D35" s="206">
        <f t="shared" si="12"/>
        <v>0</v>
      </c>
      <c r="E35" s="207">
        <f>C35*$E$2-147569</f>
        <v>7661551</v>
      </c>
      <c r="F35" s="207">
        <f t="shared" si="14"/>
        <v>0</v>
      </c>
      <c r="G35" s="208">
        <f>E35*G$2-189034</f>
        <v>7625748.0200000005</v>
      </c>
      <c r="H35" s="208">
        <f t="shared" si="9"/>
        <v>0</v>
      </c>
      <c r="I35" s="208">
        <f>(G35*I$2)+150000</f>
        <v>7852005.5002000006</v>
      </c>
      <c r="J35" s="208">
        <f t="shared" si="10"/>
        <v>0</v>
      </c>
      <c r="K35" s="209">
        <f>L32*Data!D39</f>
        <v>638000</v>
      </c>
      <c r="L35" s="209"/>
    </row>
    <row r="36" spans="1:12" ht="24" customHeight="1">
      <c r="A36" s="204">
        <f>'[1]Chart of Accounts GL'!A48</f>
        <v>700</v>
      </c>
      <c r="B36" s="205" t="str">
        <f>'Chart of Accounts GL'!B48</f>
        <v>Wage Expense (hourly workers)</v>
      </c>
      <c r="C36" s="206">
        <f t="shared" si="11"/>
        <v>120000</v>
      </c>
      <c r="D36" s="206">
        <f t="shared" si="12"/>
        <v>0</v>
      </c>
      <c r="E36" s="207">
        <f t="shared" si="13"/>
        <v>122400</v>
      </c>
      <c r="F36" s="207">
        <f t="shared" si="14"/>
        <v>0</v>
      </c>
      <c r="G36" s="208">
        <f>E36*G$2</f>
        <v>124848</v>
      </c>
      <c r="H36" s="208">
        <f t="shared" si="9"/>
        <v>0</v>
      </c>
      <c r="I36" s="208">
        <f t="shared" si="10"/>
        <v>126096.48</v>
      </c>
      <c r="J36" s="208">
        <f t="shared" si="10"/>
        <v>0</v>
      </c>
      <c r="K36" s="209">
        <f>Data!D40</f>
        <v>10000</v>
      </c>
      <c r="L36" s="209"/>
    </row>
    <row r="37" spans="1:12" ht="24" customHeight="1">
      <c r="A37" s="204">
        <f>'[1]Chart of Accounts GL'!A49</f>
        <v>701</v>
      </c>
      <c r="B37" s="205" t="str">
        <f>'Chart of Accounts GL'!B49</f>
        <v>Salaries Expense (Exempt Staff)</v>
      </c>
      <c r="C37" s="206">
        <f t="shared" si="11"/>
        <v>360000</v>
      </c>
      <c r="D37" s="206">
        <f t="shared" si="12"/>
        <v>0</v>
      </c>
      <c r="E37" s="207">
        <f t="shared" si="13"/>
        <v>367200</v>
      </c>
      <c r="F37" s="207">
        <f t="shared" si="14"/>
        <v>0</v>
      </c>
      <c r="G37" s="208">
        <f t="shared" si="9"/>
        <v>374544</v>
      </c>
      <c r="H37" s="208">
        <f t="shared" si="9"/>
        <v>0</v>
      </c>
      <c r="I37" s="208">
        <f t="shared" si="10"/>
        <v>378289.44</v>
      </c>
      <c r="J37" s="208">
        <f t="shared" si="10"/>
        <v>0</v>
      </c>
      <c r="K37" s="209">
        <f>Data!D41</f>
        <v>30000</v>
      </c>
      <c r="L37" s="209"/>
    </row>
    <row r="38" spans="1:12" ht="24" customHeight="1">
      <c r="A38" s="204">
        <f>'[1]Chart of Accounts GL'!A50</f>
        <v>702</v>
      </c>
      <c r="B38" s="205" t="str">
        <f>'Chart of Accounts GL'!B50</f>
        <v>Marketing Expense</v>
      </c>
      <c r="C38" s="206">
        <f t="shared" si="11"/>
        <v>288000</v>
      </c>
      <c r="D38" s="206">
        <f t="shared" si="12"/>
        <v>0</v>
      </c>
      <c r="E38" s="207">
        <f t="shared" si="13"/>
        <v>293760</v>
      </c>
      <c r="F38" s="207">
        <f t="shared" si="14"/>
        <v>0</v>
      </c>
      <c r="G38" s="208">
        <f t="shared" si="9"/>
        <v>299635.20000000001</v>
      </c>
      <c r="H38" s="208">
        <f t="shared" si="9"/>
        <v>0</v>
      </c>
      <c r="I38" s="208">
        <f>G38*I$2</f>
        <v>302631.55200000003</v>
      </c>
      <c r="J38" s="208">
        <f t="shared" si="10"/>
        <v>0</v>
      </c>
      <c r="K38" s="209">
        <f>Data!D42</f>
        <v>24000</v>
      </c>
      <c r="L38" s="209"/>
    </row>
    <row r="39" spans="1:12" ht="24" customHeight="1">
      <c r="A39" s="204">
        <f>'[1]Chart of Accounts GL'!A51</f>
        <v>703</v>
      </c>
      <c r="B39" s="205" t="str">
        <f>'Chart of Accounts GL'!B51</f>
        <v>Travel and Entertainment Expense</v>
      </c>
      <c r="C39" s="206">
        <f t="shared" si="11"/>
        <v>27600</v>
      </c>
      <c r="D39" s="206">
        <f t="shared" si="12"/>
        <v>0</v>
      </c>
      <c r="E39" s="207">
        <f t="shared" si="13"/>
        <v>28152</v>
      </c>
      <c r="F39" s="207">
        <f t="shared" si="14"/>
        <v>0</v>
      </c>
      <c r="G39" s="208">
        <f t="shared" si="9"/>
        <v>28715.040000000001</v>
      </c>
      <c r="H39" s="208">
        <f t="shared" si="9"/>
        <v>0</v>
      </c>
      <c r="I39" s="208">
        <f t="shared" si="10"/>
        <v>29002.190399999999</v>
      </c>
      <c r="J39" s="208">
        <f t="shared" si="10"/>
        <v>0</v>
      </c>
      <c r="K39" s="209">
        <f>Data!D43</f>
        <v>2300</v>
      </c>
      <c r="L39" s="209"/>
    </row>
    <row r="40" spans="1:12" ht="24" customHeight="1">
      <c r="A40" s="204">
        <f>'[1]Chart of Accounts GL'!A52</f>
        <v>704</v>
      </c>
      <c r="B40" s="205" t="str">
        <f>'Chart of Accounts GL'!B52</f>
        <v>Bad Debt Expense</v>
      </c>
      <c r="C40" s="206">
        <f t="shared" si="11"/>
        <v>0</v>
      </c>
      <c r="D40" s="206">
        <f t="shared" si="12"/>
        <v>0</v>
      </c>
      <c r="E40" s="207">
        <f t="shared" si="13"/>
        <v>0</v>
      </c>
      <c r="F40" s="207">
        <f t="shared" si="14"/>
        <v>0</v>
      </c>
      <c r="G40" s="208">
        <f t="shared" si="9"/>
        <v>0</v>
      </c>
      <c r="H40" s="208">
        <f t="shared" si="9"/>
        <v>0</v>
      </c>
      <c r="I40" s="208">
        <f t="shared" si="10"/>
        <v>0</v>
      </c>
      <c r="J40" s="208">
        <f t="shared" si="10"/>
        <v>0</v>
      </c>
      <c r="K40" s="209">
        <v>0</v>
      </c>
      <c r="L40" s="209">
        <v>0</v>
      </c>
    </row>
    <row r="41" spans="1:12" ht="24" customHeight="1">
      <c r="A41" s="204">
        <f>'[1]Chart of Accounts GL'!A53</f>
        <v>705</v>
      </c>
      <c r="B41" s="205" t="str">
        <f>'Chart of Accounts GL'!B53</f>
        <v>Property Tax Expense</v>
      </c>
      <c r="C41" s="206">
        <f t="shared" si="11"/>
        <v>0</v>
      </c>
      <c r="D41" s="206">
        <f t="shared" si="12"/>
        <v>0</v>
      </c>
      <c r="E41" s="207">
        <f t="shared" si="13"/>
        <v>0</v>
      </c>
      <c r="F41" s="207">
        <f t="shared" si="14"/>
        <v>0</v>
      </c>
      <c r="G41" s="208">
        <f t="shared" si="9"/>
        <v>0</v>
      </c>
      <c r="H41" s="208">
        <f t="shared" si="9"/>
        <v>0</v>
      </c>
      <c r="I41" s="208">
        <f t="shared" si="10"/>
        <v>0</v>
      </c>
      <c r="J41" s="208">
        <f t="shared" si="10"/>
        <v>0</v>
      </c>
      <c r="K41" s="212">
        <v>0</v>
      </c>
      <c r="L41" s="212">
        <v>0</v>
      </c>
    </row>
    <row r="42" spans="1:12" ht="24" customHeight="1">
      <c r="A42" s="204">
        <f>'[1]Chart of Accounts GL'!A54</f>
        <v>706</v>
      </c>
      <c r="B42" s="205" t="str">
        <f>'Chart of Accounts GL'!B54</f>
        <v>Office Maintenance &amp; Repair Expense</v>
      </c>
      <c r="C42" s="206">
        <f t="shared" si="11"/>
        <v>6000</v>
      </c>
      <c r="D42" s="206">
        <f t="shared" si="12"/>
        <v>0</v>
      </c>
      <c r="E42" s="207">
        <f t="shared" si="13"/>
        <v>6120</v>
      </c>
      <c r="F42" s="207">
        <f t="shared" si="14"/>
        <v>0</v>
      </c>
      <c r="G42" s="208">
        <f t="shared" si="9"/>
        <v>6242.4000000000005</v>
      </c>
      <c r="H42" s="208">
        <f t="shared" si="9"/>
        <v>0</v>
      </c>
      <c r="I42" s="208">
        <f t="shared" si="10"/>
        <v>6304.8240000000005</v>
      </c>
      <c r="J42" s="208">
        <f t="shared" si="10"/>
        <v>0</v>
      </c>
      <c r="K42" s="209">
        <f>Data!D44</f>
        <v>500</v>
      </c>
      <c r="L42" s="209"/>
    </row>
    <row r="43" spans="1:12" ht="24" customHeight="1">
      <c r="A43" s="204">
        <f>'[1]Chart of Accounts GL'!A55</f>
        <v>707</v>
      </c>
      <c r="B43" s="205" t="str">
        <f>'Chart of Accounts GL'!B55</f>
        <v>Legal Expenses</v>
      </c>
      <c r="C43" s="206">
        <f>(C2*K43)</f>
        <v>198600</v>
      </c>
      <c r="D43" s="206">
        <f t="shared" si="12"/>
        <v>0</v>
      </c>
      <c r="E43" s="207">
        <f t="shared" si="13"/>
        <v>202572</v>
      </c>
      <c r="F43" s="207">
        <f t="shared" si="14"/>
        <v>0</v>
      </c>
      <c r="G43" s="208">
        <f>E43*G$2</f>
        <v>206623.44</v>
      </c>
      <c r="H43" s="208">
        <f t="shared" si="9"/>
        <v>0</v>
      </c>
      <c r="I43" s="208">
        <f>G43*I$2</f>
        <v>208689.67440000002</v>
      </c>
      <c r="J43" s="208">
        <f t="shared" si="10"/>
        <v>0</v>
      </c>
      <c r="K43" s="209">
        <f>Data!D45</f>
        <v>16550</v>
      </c>
      <c r="L43" s="209"/>
    </row>
    <row r="44" spans="1:12" ht="24" customHeight="1">
      <c r="A44" s="204">
        <f>'[1]Chart of Accounts GL'!A56</f>
        <v>708</v>
      </c>
      <c r="B44" s="205" t="str">
        <f>'Chart of Accounts GL'!B56</f>
        <v>Insurance Expense</v>
      </c>
      <c r="C44" s="206">
        <f t="shared" si="11"/>
        <v>24000</v>
      </c>
      <c r="D44" s="206">
        <f t="shared" si="12"/>
        <v>0</v>
      </c>
      <c r="E44" s="207">
        <f t="shared" si="13"/>
        <v>24480</v>
      </c>
      <c r="F44" s="207">
        <f t="shared" si="14"/>
        <v>0</v>
      </c>
      <c r="G44" s="208">
        <f t="shared" ref="G44:J51" si="15">E44*G$2</f>
        <v>24969.600000000002</v>
      </c>
      <c r="H44" s="208">
        <f t="shared" si="9"/>
        <v>0</v>
      </c>
      <c r="I44" s="208">
        <f>G44*I$2</f>
        <v>25219.296000000002</v>
      </c>
      <c r="J44" s="208">
        <f t="shared" si="10"/>
        <v>0</v>
      </c>
      <c r="K44" s="209">
        <f>Data!D46</f>
        <v>2000</v>
      </c>
      <c r="L44" s="209"/>
    </row>
    <row r="45" spans="1:12" ht="24" customHeight="1">
      <c r="A45" s="204">
        <f>'[1]Chart of Accounts GL'!A57</f>
        <v>709</v>
      </c>
      <c r="B45" s="205" t="str">
        <f>'Chart of Accounts GL'!B57</f>
        <v>Utilities Expense</v>
      </c>
      <c r="C45" s="206">
        <f t="shared" si="11"/>
        <v>12000</v>
      </c>
      <c r="D45" s="206">
        <f t="shared" si="12"/>
        <v>0</v>
      </c>
      <c r="E45" s="207">
        <f t="shared" si="13"/>
        <v>12240</v>
      </c>
      <c r="F45" s="207">
        <f t="shared" si="14"/>
        <v>0</v>
      </c>
      <c r="G45" s="208">
        <f t="shared" si="15"/>
        <v>12484.800000000001</v>
      </c>
      <c r="H45" s="208">
        <f t="shared" si="9"/>
        <v>0</v>
      </c>
      <c r="I45" s="208">
        <f t="shared" si="9"/>
        <v>12609.648000000001</v>
      </c>
      <c r="J45" s="208">
        <f t="shared" si="10"/>
        <v>0</v>
      </c>
      <c r="K45" s="209">
        <f>Data!D47</f>
        <v>1000</v>
      </c>
      <c r="L45" s="209"/>
    </row>
    <row r="46" spans="1:12" ht="24" customHeight="1">
      <c r="A46" s="204">
        <f>'[1]Chart of Accounts GL'!A58</f>
        <v>710</v>
      </c>
      <c r="B46" s="205" t="str">
        <f>'Chart of Accounts GL'!B58</f>
        <v>Office Supplies Expense</v>
      </c>
      <c r="C46" s="206">
        <f t="shared" si="11"/>
        <v>3480</v>
      </c>
      <c r="D46" s="206">
        <f t="shared" si="12"/>
        <v>0</v>
      </c>
      <c r="E46" s="207">
        <f t="shared" si="13"/>
        <v>3549.6</v>
      </c>
      <c r="F46" s="207">
        <f t="shared" si="14"/>
        <v>0</v>
      </c>
      <c r="G46" s="208">
        <f t="shared" si="15"/>
        <v>3620.5920000000001</v>
      </c>
      <c r="H46" s="208">
        <f t="shared" si="9"/>
        <v>0</v>
      </c>
      <c r="I46" s="208">
        <f t="shared" si="9"/>
        <v>3656.79792</v>
      </c>
      <c r="J46" s="208">
        <f t="shared" si="10"/>
        <v>0</v>
      </c>
      <c r="K46" s="209">
        <f>Data!D48</f>
        <v>290</v>
      </c>
      <c r="L46" s="209"/>
    </row>
    <row r="47" spans="1:12" ht="24" customHeight="1">
      <c r="A47" s="204">
        <f>'[1]Chart of Accounts GL'!A59</f>
        <v>711</v>
      </c>
      <c r="B47" s="205" t="str">
        <f>'Chart of Accounts GL'!B59</f>
        <v>Telecommunications Expense</v>
      </c>
      <c r="C47" s="206">
        <f t="shared" si="11"/>
        <v>660</v>
      </c>
      <c r="D47" s="206">
        <f t="shared" si="12"/>
        <v>0</v>
      </c>
      <c r="E47" s="207">
        <f t="shared" si="13"/>
        <v>673.2</v>
      </c>
      <c r="F47" s="207">
        <f t="shared" si="14"/>
        <v>0</v>
      </c>
      <c r="G47" s="208">
        <f t="shared" si="15"/>
        <v>686.6640000000001</v>
      </c>
      <c r="H47" s="208">
        <f t="shared" si="9"/>
        <v>0</v>
      </c>
      <c r="I47" s="208">
        <f t="shared" si="9"/>
        <v>693.53064000000006</v>
      </c>
      <c r="J47" s="208">
        <f t="shared" si="10"/>
        <v>0</v>
      </c>
      <c r="K47" s="209">
        <f>Data!D49</f>
        <v>55</v>
      </c>
      <c r="L47" s="209"/>
    </row>
    <row r="48" spans="1:12" ht="24" customHeight="1">
      <c r="A48" s="204">
        <f>'[1]Chart of Accounts GL'!A60</f>
        <v>712</v>
      </c>
      <c r="B48" s="205" t="str">
        <f>'Chart of Accounts GL'!B60</f>
        <v>Depreciation Expense -  Equip &amp; Furniture - Warehouse</v>
      </c>
      <c r="C48" s="206">
        <f t="shared" si="11"/>
        <v>1980</v>
      </c>
      <c r="D48" s="206">
        <f t="shared" si="12"/>
        <v>0</v>
      </c>
      <c r="E48" s="207">
        <f t="shared" si="13"/>
        <v>2019.6000000000001</v>
      </c>
      <c r="F48" s="207">
        <f t="shared" si="14"/>
        <v>0</v>
      </c>
      <c r="G48" s="208">
        <f t="shared" si="15"/>
        <v>2059.9920000000002</v>
      </c>
      <c r="H48" s="208">
        <f t="shared" si="15"/>
        <v>0</v>
      </c>
      <c r="I48" s="208">
        <f t="shared" si="15"/>
        <v>2080.5919200000003</v>
      </c>
      <c r="J48" s="208">
        <f t="shared" si="15"/>
        <v>0</v>
      </c>
      <c r="K48" s="209">
        <f>Data!D50</f>
        <v>165</v>
      </c>
      <c r="L48" s="209"/>
    </row>
    <row r="49" spans="1:12" ht="24" customHeight="1">
      <c r="A49" s="204">
        <f>'[1]Chart of Accounts GL'!A61</f>
        <v>713</v>
      </c>
      <c r="B49" s="205" t="str">
        <f>'Chart of Accounts GL'!B61</f>
        <v>Depreciation Expense - Equip &amp; Furniture - Office</v>
      </c>
      <c r="C49" s="206">
        <f t="shared" si="11"/>
        <v>1680</v>
      </c>
      <c r="D49" s="206">
        <f t="shared" si="12"/>
        <v>0</v>
      </c>
      <c r="E49" s="207">
        <f t="shared" si="13"/>
        <v>1713.6000000000001</v>
      </c>
      <c r="F49" s="207">
        <f t="shared" si="14"/>
        <v>0</v>
      </c>
      <c r="G49" s="208">
        <f t="shared" si="15"/>
        <v>1747.8720000000001</v>
      </c>
      <c r="H49" s="208">
        <f t="shared" si="15"/>
        <v>0</v>
      </c>
      <c r="I49" s="208">
        <f t="shared" si="15"/>
        <v>1765.3507200000001</v>
      </c>
      <c r="J49" s="208">
        <f t="shared" si="15"/>
        <v>0</v>
      </c>
      <c r="K49" s="209">
        <f>Data!D51</f>
        <v>140</v>
      </c>
      <c r="L49" s="209"/>
    </row>
    <row r="50" spans="1:12" ht="24" customHeight="1">
      <c r="A50" s="204">
        <f>'[1]Chart of Accounts GL'!A63</f>
        <v>800</v>
      </c>
      <c r="B50" s="205" t="str">
        <f>'Chart of Accounts GL'!B63</f>
        <v>Rent Income</v>
      </c>
      <c r="C50" s="206">
        <f t="shared" si="11"/>
        <v>0</v>
      </c>
      <c r="D50" s="206">
        <f t="shared" si="12"/>
        <v>0</v>
      </c>
      <c r="E50" s="207">
        <f t="shared" si="13"/>
        <v>0</v>
      </c>
      <c r="F50" s="207">
        <f t="shared" si="14"/>
        <v>0</v>
      </c>
      <c r="G50" s="208">
        <f t="shared" si="15"/>
        <v>0</v>
      </c>
      <c r="H50" s="208">
        <f t="shared" si="15"/>
        <v>0</v>
      </c>
      <c r="I50" s="208">
        <f t="shared" si="15"/>
        <v>0</v>
      </c>
      <c r="J50" s="208">
        <f t="shared" si="15"/>
        <v>0</v>
      </c>
      <c r="K50" s="209">
        <v>0</v>
      </c>
      <c r="L50" s="209">
        <v>0</v>
      </c>
    </row>
    <row r="51" spans="1:12" ht="24" customHeight="1">
      <c r="A51" s="204">
        <f>'[1]Chart of Accounts GL'!A65</f>
        <v>900</v>
      </c>
      <c r="B51" s="205" t="str">
        <f>'Chart of Accounts GL'!B65</f>
        <v>Interest Expense</v>
      </c>
      <c r="C51" s="206">
        <f t="shared" si="11"/>
        <v>0</v>
      </c>
      <c r="D51" s="206">
        <f t="shared" si="12"/>
        <v>0</v>
      </c>
      <c r="E51" s="207">
        <f t="shared" si="13"/>
        <v>0</v>
      </c>
      <c r="F51" s="207">
        <f t="shared" si="14"/>
        <v>0</v>
      </c>
      <c r="G51" s="208">
        <f t="shared" si="15"/>
        <v>0</v>
      </c>
      <c r="H51" s="208">
        <f t="shared" si="15"/>
        <v>0</v>
      </c>
      <c r="I51" s="208">
        <f t="shared" si="15"/>
        <v>0</v>
      </c>
      <c r="J51" s="208">
        <f t="shared" si="15"/>
        <v>0</v>
      </c>
      <c r="K51" s="209">
        <v>0</v>
      </c>
      <c r="L51" s="209">
        <v>0</v>
      </c>
    </row>
    <row r="52" spans="1:12" ht="24" customHeight="1">
      <c r="A52" s="204"/>
      <c r="B52" s="205"/>
      <c r="C52" s="206"/>
      <c r="D52" s="206"/>
      <c r="E52" s="207"/>
      <c r="F52" s="207"/>
      <c r="G52" s="208"/>
      <c r="H52" s="208"/>
      <c r="I52" s="208"/>
      <c r="J52" s="208"/>
      <c r="K52" s="209"/>
      <c r="L52" s="209"/>
    </row>
    <row r="53" spans="1:12" ht="24" customHeight="1">
      <c r="A53" s="204"/>
      <c r="B53" s="210" t="s">
        <v>138</v>
      </c>
      <c r="C53" s="206">
        <f>SUM(C7:C51)</f>
        <v>14088896</v>
      </c>
      <c r="D53" s="206">
        <f t="shared" ref="D53:L53" si="16">SUM(D7:D51)</f>
        <v>14088896</v>
      </c>
      <c r="E53" s="207">
        <f t="shared" si="16"/>
        <v>14069624.759999998</v>
      </c>
      <c r="F53" s="207">
        <f t="shared" si="16"/>
        <v>14069624.76</v>
      </c>
      <c r="G53" s="208">
        <f t="shared" si="16"/>
        <v>14239378.756000001</v>
      </c>
      <c r="H53" s="208">
        <f t="shared" si="16"/>
        <v>14239378.752</v>
      </c>
      <c r="I53" s="208">
        <f>SUM(I7:I51)</f>
        <v>14659097.62324</v>
      </c>
      <c r="J53" s="208">
        <f>SUM(J7:J51)</f>
        <v>14659097.622880001</v>
      </c>
      <c r="K53" s="209">
        <f t="shared" si="16"/>
        <v>5159100</v>
      </c>
      <c r="L53" s="209">
        <f t="shared" si="16"/>
        <v>5159100</v>
      </c>
    </row>
    <row r="55" spans="1:12">
      <c r="A55" s="24" t="s">
        <v>159</v>
      </c>
      <c r="C55" s="317">
        <f>C53-D53</f>
        <v>0</v>
      </c>
      <c r="D55" s="317"/>
      <c r="E55" s="317">
        <f>E53-F53</f>
        <v>0</v>
      </c>
      <c r="F55" s="317"/>
      <c r="G55" s="317">
        <f>G53-H53</f>
        <v>4.0000006556510925E-3</v>
      </c>
      <c r="H55" s="317"/>
      <c r="I55" s="317">
        <f>I53-J53</f>
        <v>3.5999901592731476E-4</v>
      </c>
      <c r="J55" s="317"/>
      <c r="K55" s="317">
        <f>K53-L53</f>
        <v>0</v>
      </c>
    </row>
    <row r="56" spans="1:12">
      <c r="J56" s="115"/>
    </row>
    <row r="60" spans="1:12">
      <c r="J60" s="115"/>
    </row>
  </sheetData>
  <sheetProtection password="D0DD" sheet="1" objects="1" scenarios="1"/>
  <pageMargins left="0.75" right="0.5" top="0.5" bottom="0.5" header="0.5" footer="0.5"/>
  <pageSetup scale="47" orientation="landscape" r:id="rId1"/>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sheetPr codeName="Sheet25">
    <pageSetUpPr fitToPage="1"/>
  </sheetPr>
  <dimension ref="A1:J58"/>
  <sheetViews>
    <sheetView workbookViewId="0">
      <selection activeCell="B5" sqref="B5"/>
    </sheetView>
  </sheetViews>
  <sheetFormatPr defaultColWidth="8.85546875" defaultRowHeight="11.25"/>
  <cols>
    <col min="1" max="1" width="46.140625" style="51" customWidth="1"/>
    <col min="2" max="2" width="21" style="51" customWidth="1"/>
    <col min="3" max="3" width="2.42578125" style="51" customWidth="1"/>
    <col min="4" max="4" width="21" style="51" customWidth="1"/>
    <col min="5" max="5" width="2.42578125" style="51" customWidth="1"/>
    <col min="6" max="6" width="21" style="51" customWidth="1"/>
    <col min="7" max="7" width="2.42578125" style="51" customWidth="1"/>
    <col min="8" max="8" width="21" style="51" customWidth="1"/>
    <col min="9" max="9" width="2.42578125" style="51" customWidth="1"/>
    <col min="10" max="10" width="21" style="51" customWidth="1"/>
    <col min="11" max="16384" width="8.85546875" style="51"/>
  </cols>
  <sheetData>
    <row r="1" spans="1:10">
      <c r="A1" s="107" t="str">
        <f>'[1]Chart of Accounts GL'!A1</f>
        <v>AC Speed Corporation</v>
      </c>
      <c r="B1" s="107"/>
      <c r="C1" s="107"/>
      <c r="D1" s="107"/>
      <c r="E1" s="107"/>
      <c r="F1" s="107"/>
      <c r="G1" s="107"/>
      <c r="H1" s="107"/>
      <c r="I1" s="107"/>
      <c r="J1" s="107"/>
    </row>
    <row r="2" spans="1:10">
      <c r="A2" s="107" t="s">
        <v>86</v>
      </c>
      <c r="B2" s="107"/>
      <c r="C2" s="107"/>
      <c r="D2" s="107"/>
      <c r="E2" s="107"/>
      <c r="F2" s="107"/>
      <c r="G2" s="107"/>
      <c r="H2" s="107"/>
      <c r="I2" s="107"/>
      <c r="J2" s="107"/>
    </row>
    <row r="3" spans="1:10" ht="20.25" customHeight="1">
      <c r="A3" s="108"/>
      <c r="B3" s="109">
        <f>'Adjusted Trial Balances'!C3</f>
        <v>41274</v>
      </c>
      <c r="C3" s="109"/>
      <c r="D3" s="109">
        <f>'Adjusted Trial Balances'!E3</f>
        <v>40908</v>
      </c>
      <c r="E3" s="109"/>
      <c r="F3" s="110">
        <f>'Adjusted Trial Balances'!G3</f>
        <v>40543</v>
      </c>
      <c r="G3" s="109"/>
      <c r="H3" s="110">
        <f>'Adjusted Trial Balances'!I3</f>
        <v>40178</v>
      </c>
      <c r="I3" s="109"/>
      <c r="J3" s="110">
        <f>'Adjusted Trial Balances'!K3</f>
        <v>41060</v>
      </c>
    </row>
    <row r="4" spans="1:10" ht="20.25" customHeight="1">
      <c r="A4" s="213"/>
      <c r="B4" s="213"/>
      <c r="C4" s="213"/>
      <c r="D4" s="213"/>
      <c r="E4" s="213"/>
      <c r="F4" s="213"/>
      <c r="G4" s="213"/>
      <c r="H4" s="213"/>
      <c r="I4" s="213"/>
      <c r="J4" s="213"/>
    </row>
    <row r="5" spans="1:10" ht="20.25" customHeight="1">
      <c r="A5" s="213"/>
      <c r="B5" s="214"/>
      <c r="C5" s="214"/>
      <c r="D5" s="214"/>
      <c r="E5" s="214"/>
      <c r="F5" s="214"/>
      <c r="G5" s="214"/>
      <c r="H5" s="214"/>
      <c r="I5" s="214"/>
      <c r="J5" s="214"/>
    </row>
    <row r="6" spans="1:10" ht="20.25" customHeight="1">
      <c r="A6" s="213"/>
      <c r="B6" s="214"/>
      <c r="C6" s="214"/>
      <c r="D6" s="214"/>
      <c r="E6" s="214"/>
      <c r="F6" s="214"/>
      <c r="G6" s="214"/>
      <c r="H6" s="214"/>
      <c r="I6" s="214"/>
      <c r="J6" s="214"/>
    </row>
    <row r="7" spans="1:10" ht="20.25" customHeight="1">
      <c r="A7" s="213"/>
      <c r="B7" s="215"/>
      <c r="C7" s="215"/>
      <c r="D7" s="215"/>
      <c r="E7" s="215"/>
      <c r="F7" s="215"/>
      <c r="G7" s="215"/>
      <c r="H7" s="215"/>
      <c r="I7" s="215"/>
      <c r="J7" s="215"/>
    </row>
    <row r="8" spans="1:10" ht="20.25" customHeight="1">
      <c r="A8" s="213"/>
      <c r="B8" s="214"/>
      <c r="C8" s="214"/>
      <c r="D8" s="214"/>
      <c r="E8" s="214"/>
      <c r="F8" s="214"/>
      <c r="G8" s="214"/>
      <c r="H8" s="214"/>
      <c r="I8" s="214"/>
      <c r="J8" s="214"/>
    </row>
    <row r="9" spans="1:10" ht="20.25" customHeight="1">
      <c r="A9" s="213"/>
      <c r="B9" s="214"/>
      <c r="C9" s="214"/>
      <c r="D9" s="214"/>
      <c r="E9" s="214"/>
      <c r="F9" s="214"/>
      <c r="G9" s="214"/>
      <c r="H9" s="214"/>
      <c r="I9" s="214"/>
      <c r="J9" s="214"/>
    </row>
    <row r="10" spans="1:10" ht="20.25" customHeight="1">
      <c r="A10" s="213"/>
      <c r="B10" s="215"/>
      <c r="C10" s="215"/>
      <c r="D10" s="215"/>
      <c r="E10" s="215"/>
      <c r="F10" s="215"/>
      <c r="G10" s="215"/>
      <c r="H10" s="215"/>
      <c r="I10" s="215"/>
      <c r="J10" s="215"/>
    </row>
    <row r="11" spans="1:10" ht="20.25" customHeight="1">
      <c r="A11" s="213"/>
      <c r="B11" s="214"/>
      <c r="C11" s="214"/>
      <c r="D11" s="214"/>
      <c r="E11" s="214"/>
      <c r="F11" s="214"/>
      <c r="G11" s="214"/>
      <c r="H11" s="214"/>
      <c r="I11" s="214"/>
      <c r="J11" s="214"/>
    </row>
    <row r="12" spans="1:10" ht="20.25" customHeight="1">
      <c r="A12" s="213"/>
      <c r="B12" s="214"/>
      <c r="C12" s="214"/>
      <c r="D12" s="214"/>
      <c r="E12" s="214"/>
      <c r="F12" s="214"/>
      <c r="G12" s="214"/>
      <c r="H12" s="214"/>
      <c r="I12" s="214"/>
      <c r="J12" s="214"/>
    </row>
    <row r="13" spans="1:10" ht="20.25" customHeight="1">
      <c r="A13" s="213"/>
      <c r="B13" s="214"/>
      <c r="C13" s="214"/>
      <c r="D13" s="214"/>
      <c r="E13" s="214"/>
      <c r="F13" s="214"/>
      <c r="G13" s="214"/>
      <c r="H13" s="214"/>
      <c r="I13" s="214"/>
      <c r="J13" s="214"/>
    </row>
    <row r="14" spans="1:10" ht="20.25" customHeight="1">
      <c r="A14" s="213"/>
      <c r="B14" s="214"/>
      <c r="C14" s="214"/>
      <c r="D14" s="214"/>
      <c r="E14" s="214"/>
      <c r="F14" s="214"/>
      <c r="G14" s="214"/>
      <c r="H14" s="214"/>
      <c r="I14" s="214"/>
      <c r="J14" s="214"/>
    </row>
    <row r="15" spans="1:10" ht="20.25" customHeight="1">
      <c r="A15" s="213"/>
      <c r="B15" s="214"/>
      <c r="C15" s="214"/>
      <c r="D15" s="214"/>
      <c r="E15" s="214"/>
      <c r="F15" s="214"/>
      <c r="G15" s="214"/>
      <c r="H15" s="214"/>
      <c r="I15" s="214"/>
      <c r="J15" s="214"/>
    </row>
    <row r="16" spans="1:10" ht="20.25" customHeight="1">
      <c r="A16" s="213"/>
      <c r="B16" s="214"/>
      <c r="C16" s="214"/>
      <c r="D16" s="214"/>
      <c r="E16" s="214"/>
      <c r="F16" s="214"/>
      <c r="G16" s="214"/>
      <c r="H16" s="214"/>
      <c r="I16" s="214"/>
      <c r="J16" s="214"/>
    </row>
    <row r="17" spans="1:10" ht="20.25" customHeight="1">
      <c r="A17" s="213"/>
      <c r="B17" s="214"/>
      <c r="C17" s="214"/>
      <c r="D17" s="214"/>
      <c r="E17" s="214"/>
      <c r="F17" s="214"/>
      <c r="G17" s="214"/>
      <c r="H17" s="214"/>
      <c r="I17" s="214"/>
      <c r="J17" s="214"/>
    </row>
    <row r="18" spans="1:10" ht="20.25" customHeight="1">
      <c r="A18" s="213"/>
      <c r="B18" s="214"/>
      <c r="C18" s="214"/>
      <c r="D18" s="214"/>
      <c r="E18" s="214"/>
      <c r="F18" s="214"/>
      <c r="G18" s="214"/>
      <c r="H18" s="214"/>
      <c r="I18" s="214"/>
      <c r="J18" s="214"/>
    </row>
    <row r="19" spans="1:10" ht="20.25" customHeight="1">
      <c r="A19" s="213"/>
      <c r="B19" s="214"/>
      <c r="C19" s="214"/>
      <c r="D19" s="214"/>
      <c r="E19" s="214"/>
      <c r="F19" s="214"/>
      <c r="G19" s="214"/>
      <c r="H19" s="214"/>
      <c r="I19" s="214"/>
      <c r="J19" s="214"/>
    </row>
    <row r="20" spans="1:10" ht="20.25" customHeight="1">
      <c r="A20" s="213"/>
      <c r="B20" s="214"/>
      <c r="C20" s="214"/>
      <c r="D20" s="214"/>
      <c r="E20" s="214"/>
      <c r="F20" s="214"/>
      <c r="G20" s="214"/>
      <c r="H20" s="214"/>
      <c r="I20" s="214"/>
      <c r="J20" s="214"/>
    </row>
    <row r="21" spans="1:10" ht="20.25" customHeight="1">
      <c r="A21" s="213"/>
      <c r="B21" s="214"/>
      <c r="C21" s="214"/>
      <c r="D21" s="214"/>
      <c r="E21" s="214"/>
      <c r="F21" s="214"/>
      <c r="G21" s="214"/>
      <c r="H21" s="214"/>
      <c r="I21" s="214"/>
      <c r="J21" s="214"/>
    </row>
    <row r="22" spans="1:10" ht="20.25" customHeight="1">
      <c r="A22" s="213"/>
      <c r="B22" s="214"/>
      <c r="C22" s="214"/>
      <c r="D22" s="214"/>
      <c r="E22" s="214"/>
      <c r="F22" s="214"/>
      <c r="G22" s="214"/>
      <c r="H22" s="214"/>
      <c r="I22" s="214"/>
      <c r="J22" s="214"/>
    </row>
    <row r="23" spans="1:10" ht="20.25" customHeight="1">
      <c r="A23" s="213"/>
      <c r="B23" s="214"/>
      <c r="C23" s="214"/>
      <c r="D23" s="214"/>
      <c r="E23" s="214"/>
      <c r="F23" s="214"/>
      <c r="G23" s="214"/>
      <c r="H23" s="214"/>
      <c r="I23" s="214"/>
      <c r="J23" s="214"/>
    </row>
    <row r="24" spans="1:10" ht="20.25" customHeight="1">
      <c r="A24" s="213"/>
      <c r="B24" s="214"/>
      <c r="C24" s="214"/>
      <c r="D24" s="214"/>
      <c r="E24" s="214"/>
      <c r="F24" s="214"/>
      <c r="G24" s="214"/>
      <c r="H24" s="214"/>
      <c r="I24" s="214"/>
      <c r="J24" s="214"/>
    </row>
    <row r="25" spans="1:10" ht="20.25" customHeight="1">
      <c r="A25" s="213"/>
      <c r="B25" s="214"/>
      <c r="C25" s="214"/>
      <c r="D25" s="214"/>
      <c r="E25" s="214"/>
      <c r="F25" s="214"/>
      <c r="G25" s="214"/>
      <c r="H25" s="214"/>
      <c r="I25" s="214"/>
      <c r="J25" s="214"/>
    </row>
    <row r="26" spans="1:10" ht="20.25" customHeight="1">
      <c r="A26" s="213"/>
      <c r="B26" s="215"/>
      <c r="C26" s="215"/>
      <c r="D26" s="214"/>
      <c r="E26" s="215"/>
      <c r="F26" s="214"/>
      <c r="G26" s="215"/>
      <c r="H26" s="214"/>
      <c r="I26" s="215"/>
      <c r="J26" s="214"/>
    </row>
    <row r="27" spans="1:10" ht="20.25" customHeight="1">
      <c r="A27" s="213"/>
      <c r="B27" s="215"/>
      <c r="C27" s="215"/>
      <c r="D27" s="215"/>
      <c r="E27" s="215"/>
      <c r="F27" s="215"/>
      <c r="G27" s="215"/>
      <c r="H27" s="215"/>
      <c r="I27" s="215"/>
      <c r="J27" s="215"/>
    </row>
    <row r="28" spans="1:10" ht="20.25" customHeight="1">
      <c r="A28" s="213"/>
      <c r="B28" s="214"/>
      <c r="C28" s="214"/>
      <c r="D28" s="214"/>
      <c r="E28" s="214"/>
      <c r="F28" s="214"/>
      <c r="G28" s="214"/>
      <c r="H28" s="214"/>
      <c r="I28" s="214"/>
      <c r="J28" s="214"/>
    </row>
    <row r="29" spans="1:10" ht="20.25" customHeight="1">
      <c r="A29" s="213"/>
      <c r="B29" s="214"/>
      <c r="C29" s="214"/>
      <c r="D29" s="214"/>
      <c r="E29" s="214"/>
      <c r="F29" s="214"/>
      <c r="G29" s="214"/>
      <c r="H29" s="214"/>
      <c r="I29" s="214"/>
      <c r="J29" s="214"/>
    </row>
    <row r="30" spans="1:10" ht="20.25" customHeight="1">
      <c r="A30" s="213"/>
      <c r="B30" s="214"/>
      <c r="C30" s="214"/>
      <c r="D30" s="214"/>
      <c r="E30" s="214"/>
      <c r="F30" s="214"/>
      <c r="G30" s="214"/>
      <c r="H30" s="214"/>
      <c r="I30" s="214"/>
      <c r="J30" s="214"/>
    </row>
    <row r="31" spans="1:10" ht="20.25" customHeight="1">
      <c r="A31" s="213"/>
      <c r="B31" s="215"/>
      <c r="C31" s="215"/>
      <c r="D31" s="215"/>
      <c r="E31" s="215"/>
      <c r="F31" s="215"/>
      <c r="G31" s="215"/>
      <c r="H31" s="215"/>
      <c r="I31" s="215"/>
      <c r="J31" s="215"/>
    </row>
    <row r="32" spans="1:10" ht="20.25" customHeight="1">
      <c r="A32" s="213"/>
      <c r="B32" s="214"/>
      <c r="C32" s="214"/>
      <c r="D32" s="214"/>
      <c r="E32" s="214"/>
      <c r="F32" s="214"/>
      <c r="G32" s="214"/>
      <c r="H32" s="214"/>
      <c r="I32" s="214"/>
      <c r="J32" s="214"/>
    </row>
    <row r="33" spans="1:10" ht="20.25" customHeight="1">
      <c r="A33" s="213"/>
      <c r="B33" s="214"/>
      <c r="C33" s="214"/>
      <c r="D33" s="214"/>
      <c r="E33" s="214"/>
      <c r="F33" s="214"/>
      <c r="G33" s="214"/>
      <c r="H33" s="214"/>
      <c r="I33" s="214"/>
      <c r="J33" s="214"/>
    </row>
    <row r="34" spans="1:10" ht="20.25" customHeight="1">
      <c r="A34" s="213"/>
      <c r="B34" s="214"/>
      <c r="C34" s="214"/>
      <c r="D34" s="214"/>
      <c r="E34" s="214"/>
      <c r="F34" s="214"/>
      <c r="G34" s="214"/>
      <c r="H34" s="214"/>
      <c r="I34" s="214"/>
      <c r="J34" s="214"/>
    </row>
    <row r="35" spans="1:10" ht="20.25" customHeight="1">
      <c r="A35" s="213"/>
      <c r="B35" s="215"/>
      <c r="C35" s="215"/>
      <c r="D35" s="215"/>
      <c r="E35" s="215"/>
      <c r="F35" s="215"/>
      <c r="G35" s="215"/>
      <c r="H35" s="215"/>
      <c r="I35" s="215"/>
      <c r="J35" s="215"/>
    </row>
    <row r="36" spans="1:10" ht="20.25" customHeight="1">
      <c r="A36" s="213"/>
      <c r="B36" s="214"/>
      <c r="C36" s="214"/>
      <c r="D36" s="214"/>
      <c r="E36" s="214"/>
      <c r="F36" s="214"/>
      <c r="G36" s="214"/>
      <c r="H36" s="214"/>
      <c r="I36" s="214"/>
      <c r="J36" s="214"/>
    </row>
    <row r="38" spans="1:10" ht="20.25" customHeight="1">
      <c r="A38" s="216" t="s">
        <v>175</v>
      </c>
      <c r="B38" s="217">
        <v>19200</v>
      </c>
      <c r="C38" s="217"/>
      <c r="D38" s="217">
        <v>16130</v>
      </c>
      <c r="E38" s="217"/>
      <c r="F38" s="217">
        <v>15000</v>
      </c>
      <c r="G38" s="217"/>
      <c r="H38" s="217">
        <v>1600</v>
      </c>
    </row>
    <row r="39" spans="1:10" ht="20.25" customHeight="1">
      <c r="A39" s="216" t="s">
        <v>176</v>
      </c>
      <c r="B39" s="217">
        <v>65000</v>
      </c>
      <c r="C39" s="217"/>
      <c r="D39" s="217">
        <v>65000</v>
      </c>
      <c r="E39" s="217"/>
      <c r="F39" s="217">
        <v>65000</v>
      </c>
      <c r="G39" s="217"/>
      <c r="H39" s="217">
        <v>62500</v>
      </c>
    </row>
    <row r="40" spans="1:10" ht="20.25" customHeight="1">
      <c r="A40" s="216" t="s">
        <v>177</v>
      </c>
      <c r="B40" s="218">
        <v>35</v>
      </c>
      <c r="C40" s="218"/>
      <c r="D40" s="218">
        <v>34</v>
      </c>
      <c r="E40" s="218"/>
      <c r="F40" s="218">
        <v>31</v>
      </c>
      <c r="G40" s="217"/>
      <c r="H40" s="218">
        <v>34</v>
      </c>
    </row>
    <row r="58" spans="6:6">
      <c r="F58" s="155"/>
    </row>
  </sheetData>
  <pageMargins left="0.7" right="0.7" top="0.75" bottom="0.75" header="0.3" footer="0.3"/>
  <pageSetup scale="45" orientation="portrait"/>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sheetPr codeName="Sheet27">
    <pageSetUpPr fitToPage="1"/>
  </sheetPr>
  <dimension ref="A1:J58"/>
  <sheetViews>
    <sheetView zoomScale="80" zoomScaleNormal="80" zoomScalePageLayoutView="80" workbookViewId="0">
      <selection activeCell="H24" sqref="H24"/>
    </sheetView>
  </sheetViews>
  <sheetFormatPr defaultColWidth="8.85546875" defaultRowHeight="15"/>
  <cols>
    <col min="1" max="1" width="50.28515625" style="135" customWidth="1"/>
    <col min="2" max="2" width="21" style="135" customWidth="1"/>
    <col min="3" max="3" width="2.42578125" style="135" customWidth="1"/>
    <col min="4" max="4" width="21" style="135" customWidth="1"/>
    <col min="5" max="5" width="2" style="135" customWidth="1"/>
    <col min="6" max="6" width="21" style="135" customWidth="1"/>
    <col min="7" max="7" width="2.42578125" style="135" customWidth="1"/>
    <col min="8" max="8" width="21" style="135" customWidth="1"/>
    <col min="9" max="9" width="2.42578125" style="135" customWidth="1"/>
    <col min="10" max="10" width="21" style="135" customWidth="1"/>
    <col min="11" max="16384" width="8.85546875" style="135"/>
  </cols>
  <sheetData>
    <row r="1" spans="1:10">
      <c r="A1" s="5" t="str">
        <f>'[1]Chart of Accounts GL'!A1</f>
        <v>AC Speed Corporation</v>
      </c>
      <c r="B1" s="5"/>
      <c r="C1" s="5"/>
      <c r="D1" s="5"/>
      <c r="E1" s="5"/>
      <c r="F1" s="5"/>
      <c r="G1" s="5"/>
      <c r="H1" s="5"/>
      <c r="I1" s="5"/>
      <c r="J1" s="5"/>
    </row>
    <row r="2" spans="1:10">
      <c r="A2" s="5" t="s">
        <v>87</v>
      </c>
      <c r="B2" s="5"/>
      <c r="C2" s="5"/>
      <c r="D2" s="5"/>
      <c r="E2" s="5"/>
      <c r="F2" s="5"/>
      <c r="G2" s="5"/>
      <c r="H2" s="5"/>
      <c r="I2" s="5"/>
      <c r="J2" s="5"/>
    </row>
    <row r="3" spans="1:10" ht="20.25" customHeight="1">
      <c r="A3" s="20"/>
      <c r="B3" s="136">
        <f>'IS Comparative'!B3</f>
        <v>41274</v>
      </c>
      <c r="C3" s="17"/>
      <c r="D3" s="136">
        <f>'IS Comparative'!D3</f>
        <v>40908</v>
      </c>
      <c r="E3" s="17"/>
      <c r="F3" s="136">
        <f>'IS Comparative'!F3</f>
        <v>40543</v>
      </c>
      <c r="G3" s="17"/>
      <c r="H3" s="136">
        <f>'IS Comparative'!H3</f>
        <v>40178</v>
      </c>
      <c r="I3" s="17"/>
      <c r="J3" s="136">
        <f>'IS Comparative'!J3</f>
        <v>41060</v>
      </c>
    </row>
    <row r="4" spans="1:10" ht="20.25" customHeight="1">
      <c r="A4" s="166"/>
      <c r="B4" s="219"/>
      <c r="C4" s="219"/>
      <c r="D4" s="219"/>
      <c r="E4" s="219"/>
      <c r="F4" s="219"/>
      <c r="G4" s="219"/>
      <c r="H4" s="219"/>
      <c r="I4" s="219"/>
      <c r="J4" s="219"/>
    </row>
    <row r="5" spans="1:10" ht="20.25" customHeight="1">
      <c r="A5" s="221"/>
      <c r="B5" s="219"/>
      <c r="C5" s="219"/>
      <c r="D5" s="219"/>
      <c r="E5" s="219"/>
      <c r="F5" s="219"/>
      <c r="G5" s="219"/>
      <c r="H5" s="219"/>
      <c r="I5" s="219"/>
      <c r="J5" s="219"/>
    </row>
    <row r="6" spans="1:10" ht="20.25" customHeight="1">
      <c r="A6" s="166"/>
      <c r="B6" s="219"/>
      <c r="C6" s="219"/>
      <c r="D6" s="219"/>
      <c r="E6" s="219"/>
      <c r="F6" s="219"/>
      <c r="G6" s="219"/>
      <c r="H6" s="219"/>
      <c r="I6" s="219"/>
      <c r="J6" s="219"/>
    </row>
    <row r="7" spans="1:10" ht="20.25" customHeight="1">
      <c r="A7" s="166"/>
      <c r="B7" s="219"/>
      <c r="C7" s="219"/>
      <c r="D7" s="219"/>
      <c r="E7" s="219"/>
      <c r="F7" s="219"/>
      <c r="G7" s="219"/>
      <c r="H7" s="219"/>
      <c r="I7" s="219"/>
      <c r="J7" s="219"/>
    </row>
    <row r="8" spans="1:10" ht="20.25" customHeight="1">
      <c r="A8" s="166"/>
      <c r="B8" s="219"/>
      <c r="C8" s="219"/>
      <c r="D8" s="219"/>
      <c r="E8" s="219"/>
      <c r="F8" s="219"/>
      <c r="G8" s="219"/>
      <c r="H8" s="219"/>
      <c r="I8" s="219"/>
      <c r="J8" s="219"/>
    </row>
    <row r="9" spans="1:10" ht="20.25" customHeight="1">
      <c r="A9" s="166"/>
      <c r="B9" s="220"/>
      <c r="C9" s="220"/>
      <c r="D9" s="220"/>
      <c r="E9" s="220"/>
      <c r="F9" s="220"/>
      <c r="G9" s="220"/>
      <c r="H9" s="220"/>
      <c r="I9" s="220"/>
      <c r="J9" s="220"/>
    </row>
    <row r="10" spans="1:10" ht="20.25" customHeight="1">
      <c r="A10" s="166"/>
      <c r="B10" s="219"/>
      <c r="C10" s="219"/>
      <c r="D10" s="219"/>
      <c r="E10" s="219"/>
      <c r="F10" s="219"/>
      <c r="G10" s="219"/>
      <c r="H10" s="219"/>
      <c r="I10" s="219"/>
      <c r="J10" s="219"/>
    </row>
    <row r="11" spans="1:10" ht="20.25" customHeight="1">
      <c r="A11" s="166"/>
      <c r="B11" s="219"/>
      <c r="C11" s="219"/>
      <c r="D11" s="219"/>
      <c r="E11" s="219"/>
      <c r="F11" s="219"/>
      <c r="G11" s="219"/>
      <c r="H11" s="219"/>
      <c r="I11" s="219"/>
      <c r="J11" s="219"/>
    </row>
    <row r="12" spans="1:10" ht="20.25" customHeight="1">
      <c r="A12" s="166"/>
      <c r="B12" s="219"/>
      <c r="C12" s="219"/>
      <c r="D12" s="219"/>
      <c r="E12" s="219"/>
      <c r="F12" s="219"/>
      <c r="G12" s="219"/>
      <c r="H12" s="219"/>
      <c r="I12" s="219"/>
      <c r="J12" s="219"/>
    </row>
    <row r="13" spans="1:10" ht="20.25" customHeight="1">
      <c r="A13" s="166"/>
      <c r="B13" s="219"/>
      <c r="C13" s="219"/>
      <c r="D13" s="219"/>
      <c r="E13" s="219"/>
      <c r="F13" s="219"/>
      <c r="G13" s="219"/>
      <c r="H13" s="219"/>
      <c r="I13" s="219"/>
      <c r="J13" s="219"/>
    </row>
    <row r="14" spans="1:10" ht="20.25" customHeight="1">
      <c r="A14" s="166"/>
      <c r="B14" s="219"/>
      <c r="C14" s="219"/>
      <c r="D14" s="219"/>
      <c r="E14" s="219"/>
      <c r="F14" s="219"/>
      <c r="G14" s="219"/>
      <c r="H14" s="219"/>
      <c r="I14" s="219"/>
      <c r="J14" s="219"/>
    </row>
    <row r="15" spans="1:10" ht="20.25" customHeight="1">
      <c r="A15" s="166"/>
      <c r="B15" s="219"/>
      <c r="C15" s="219"/>
      <c r="D15" s="219"/>
      <c r="E15" s="219"/>
      <c r="F15" s="219"/>
      <c r="G15" s="219"/>
      <c r="H15" s="219"/>
      <c r="I15" s="219"/>
      <c r="J15" s="219"/>
    </row>
    <row r="16" spans="1:10" ht="20.25" customHeight="1">
      <c r="A16" s="166"/>
      <c r="B16" s="219"/>
      <c r="C16" s="219"/>
      <c r="D16" s="219"/>
      <c r="E16" s="219"/>
      <c r="F16" s="219"/>
      <c r="G16" s="219"/>
      <c r="H16" s="219"/>
      <c r="I16" s="219"/>
      <c r="J16" s="219"/>
    </row>
    <row r="17" spans="1:10" ht="20.25" customHeight="1">
      <c r="A17" s="221"/>
      <c r="B17" s="219"/>
      <c r="C17" s="219"/>
      <c r="D17" s="219"/>
      <c r="E17" s="219"/>
      <c r="F17" s="219"/>
      <c r="G17" s="219"/>
      <c r="H17" s="219"/>
      <c r="I17" s="219"/>
      <c r="J17" s="219"/>
    </row>
    <row r="18" spans="1:10" ht="20.25" customHeight="1">
      <c r="A18" s="166"/>
      <c r="B18" s="219"/>
      <c r="C18" s="219"/>
      <c r="D18" s="219"/>
      <c r="E18" s="219"/>
      <c r="F18" s="219"/>
      <c r="G18" s="219"/>
      <c r="H18" s="219"/>
      <c r="I18" s="219"/>
      <c r="J18" s="219"/>
    </row>
    <row r="19" spans="1:10" ht="20.25" customHeight="1">
      <c r="A19" s="166"/>
      <c r="B19" s="219"/>
      <c r="C19" s="219"/>
      <c r="D19" s="219"/>
      <c r="E19" s="219"/>
      <c r="F19" s="219"/>
      <c r="G19" s="219"/>
      <c r="H19" s="219"/>
      <c r="I19" s="219"/>
      <c r="J19" s="219"/>
    </row>
    <row r="20" spans="1:10" ht="20.25" customHeight="1">
      <c r="A20" s="166"/>
      <c r="B20" s="219"/>
      <c r="C20" s="219"/>
      <c r="D20" s="219"/>
      <c r="E20" s="219"/>
      <c r="F20" s="219"/>
      <c r="G20" s="219"/>
      <c r="H20" s="219"/>
      <c r="I20" s="219"/>
      <c r="J20" s="219"/>
    </row>
    <row r="21" spans="1:10" ht="20.25" customHeight="1">
      <c r="A21" s="166"/>
      <c r="B21" s="220"/>
      <c r="C21" s="220"/>
      <c r="D21" s="220"/>
      <c r="E21" s="220"/>
      <c r="F21" s="220"/>
      <c r="G21" s="220"/>
      <c r="H21" s="220"/>
      <c r="I21" s="220"/>
      <c r="J21" s="220"/>
    </row>
    <row r="22" spans="1:10" ht="20.25" customHeight="1">
      <c r="A22" s="166"/>
      <c r="B22" s="219"/>
      <c r="C22" s="219"/>
      <c r="D22" s="219"/>
      <c r="E22" s="219"/>
      <c r="F22" s="219"/>
      <c r="G22" s="219"/>
      <c r="H22" s="219"/>
      <c r="I22" s="219"/>
      <c r="J22" s="219"/>
    </row>
    <row r="23" spans="1:10" ht="20.25" customHeight="1">
      <c r="A23" s="166"/>
      <c r="B23" s="219"/>
      <c r="C23" s="219"/>
      <c r="D23" s="219"/>
      <c r="E23" s="219"/>
      <c r="F23" s="219"/>
      <c r="G23" s="219"/>
      <c r="H23" s="219"/>
      <c r="I23" s="219"/>
      <c r="J23" s="219"/>
    </row>
    <row r="24" spans="1:10" ht="20.25" customHeight="1">
      <c r="A24" s="166"/>
      <c r="B24" s="219"/>
      <c r="C24" s="219"/>
      <c r="D24" s="219"/>
      <c r="E24" s="219"/>
      <c r="F24" s="219"/>
      <c r="G24" s="219"/>
      <c r="H24" s="219"/>
      <c r="I24" s="219"/>
      <c r="J24" s="219"/>
    </row>
    <row r="25" spans="1:10" ht="20.25" customHeight="1">
      <c r="A25" s="166"/>
      <c r="B25" s="219"/>
      <c r="C25" s="219"/>
      <c r="D25" s="219"/>
      <c r="E25" s="219"/>
      <c r="F25" s="219"/>
      <c r="G25" s="219"/>
      <c r="H25" s="219"/>
      <c r="I25" s="219"/>
      <c r="J25" s="219"/>
    </row>
    <row r="26" spans="1:10" ht="20.25" customHeight="1">
      <c r="A26" s="166"/>
      <c r="B26" s="219"/>
      <c r="C26" s="219"/>
      <c r="D26" s="219"/>
      <c r="E26" s="219"/>
      <c r="F26" s="219"/>
      <c r="G26" s="219"/>
      <c r="H26" s="219"/>
      <c r="I26" s="219"/>
      <c r="J26" s="219"/>
    </row>
    <row r="27" spans="1:10" ht="20.25" customHeight="1">
      <c r="A27" s="166"/>
      <c r="B27" s="219"/>
      <c r="C27" s="219"/>
      <c r="D27" s="219"/>
      <c r="E27" s="219"/>
      <c r="F27" s="219"/>
      <c r="G27" s="219"/>
      <c r="H27" s="219"/>
      <c r="I27" s="219"/>
      <c r="J27" s="219"/>
    </row>
    <row r="28" spans="1:10" ht="20.25" customHeight="1">
      <c r="A28" s="166"/>
      <c r="B28" s="219"/>
      <c r="C28" s="219"/>
      <c r="D28" s="219"/>
      <c r="E28" s="219"/>
      <c r="F28" s="219"/>
      <c r="G28" s="219"/>
      <c r="H28" s="219"/>
      <c r="I28" s="219"/>
      <c r="J28" s="219"/>
    </row>
    <row r="29" spans="1:10" ht="20.25" customHeight="1">
      <c r="A29" s="166"/>
      <c r="B29" s="219"/>
      <c r="C29" s="219"/>
      <c r="D29" s="219"/>
      <c r="E29" s="219"/>
      <c r="F29" s="219"/>
      <c r="G29" s="219"/>
      <c r="H29" s="219"/>
      <c r="I29" s="219"/>
      <c r="J29" s="219"/>
    </row>
    <row r="30" spans="1:10" ht="20.25" customHeight="1">
      <c r="A30" s="166"/>
      <c r="B30" s="219"/>
      <c r="C30" s="219"/>
      <c r="D30" s="219"/>
      <c r="E30" s="219"/>
      <c r="F30" s="219"/>
      <c r="G30" s="219"/>
      <c r="H30" s="219"/>
      <c r="I30" s="219"/>
      <c r="J30" s="219"/>
    </row>
    <row r="31" spans="1:10" ht="20.25" customHeight="1">
      <c r="A31" s="166"/>
      <c r="B31" s="219"/>
      <c r="C31" s="219"/>
      <c r="D31" s="219"/>
      <c r="E31" s="219"/>
      <c r="F31" s="219"/>
      <c r="G31" s="219"/>
      <c r="H31" s="219"/>
      <c r="I31" s="219"/>
      <c r="J31" s="219"/>
    </row>
    <row r="32" spans="1:10" ht="20.25" customHeight="1">
      <c r="A32" s="166"/>
      <c r="B32" s="219"/>
      <c r="C32" s="219"/>
      <c r="D32" s="219"/>
      <c r="E32" s="219"/>
      <c r="F32" s="219"/>
      <c r="G32" s="219"/>
      <c r="H32" s="219"/>
      <c r="I32" s="219"/>
      <c r="J32" s="219"/>
    </row>
    <row r="33" spans="1:10" ht="20.25" customHeight="1">
      <c r="A33" s="166"/>
      <c r="B33" s="219"/>
      <c r="C33" s="219"/>
      <c r="D33" s="219"/>
      <c r="E33" s="219"/>
      <c r="F33" s="219"/>
      <c r="G33" s="219"/>
      <c r="H33" s="219"/>
      <c r="I33" s="219"/>
      <c r="J33" s="219"/>
    </row>
    <row r="34" spans="1:10" ht="20.25" customHeight="1">
      <c r="A34" s="166"/>
      <c r="B34" s="219"/>
      <c r="C34" s="219"/>
      <c r="D34" s="219"/>
      <c r="E34" s="219"/>
      <c r="F34" s="219"/>
      <c r="G34" s="219"/>
      <c r="H34" s="219"/>
      <c r="I34" s="219"/>
      <c r="J34" s="219"/>
    </row>
    <row r="35" spans="1:10" ht="20.25" customHeight="1">
      <c r="A35" s="166"/>
      <c r="B35" s="219"/>
      <c r="C35" s="219"/>
      <c r="D35" s="219"/>
      <c r="E35" s="219"/>
      <c r="F35" s="219"/>
      <c r="G35" s="219"/>
      <c r="H35" s="219"/>
      <c r="I35" s="219"/>
      <c r="J35" s="219"/>
    </row>
    <row r="36" spans="1:10" ht="20.25" customHeight="1">
      <c r="A36" s="166"/>
      <c r="B36" s="219"/>
      <c r="C36" s="219"/>
      <c r="D36" s="219"/>
      <c r="E36" s="219"/>
      <c r="F36" s="219"/>
      <c r="G36" s="219"/>
      <c r="H36" s="219"/>
      <c r="I36" s="219"/>
      <c r="J36" s="219"/>
    </row>
    <row r="37" spans="1:10" ht="20.25" customHeight="1">
      <c r="A37" s="166"/>
      <c r="B37" s="219"/>
      <c r="C37" s="219"/>
      <c r="D37" s="219"/>
      <c r="E37" s="219"/>
      <c r="F37" s="219"/>
      <c r="G37" s="219"/>
      <c r="H37" s="219"/>
      <c r="I37" s="219"/>
      <c r="J37" s="219"/>
    </row>
    <row r="38" spans="1:10" ht="20.25" customHeight="1">
      <c r="A38" s="166"/>
      <c r="B38" s="219"/>
      <c r="C38" s="219"/>
      <c r="D38" s="219"/>
      <c r="E38" s="219"/>
      <c r="F38" s="219"/>
      <c r="G38" s="219"/>
      <c r="H38" s="219"/>
      <c r="I38" s="219"/>
      <c r="J38" s="219"/>
    </row>
    <row r="39" spans="1:10" ht="20.25" customHeight="1">
      <c r="A39" s="166"/>
      <c r="B39" s="219"/>
      <c r="C39" s="219"/>
      <c r="D39" s="219"/>
      <c r="E39" s="219"/>
      <c r="F39" s="219"/>
      <c r="G39" s="219"/>
      <c r="H39" s="219"/>
      <c r="I39" s="219"/>
      <c r="J39" s="219"/>
    </row>
    <row r="40" spans="1:10" ht="20.25" customHeight="1">
      <c r="A40" s="166"/>
      <c r="B40" s="219"/>
      <c r="C40" s="219"/>
      <c r="D40" s="219"/>
      <c r="E40" s="219"/>
      <c r="F40" s="219"/>
      <c r="G40" s="219"/>
      <c r="H40" s="219"/>
      <c r="I40" s="219"/>
      <c r="J40" s="219"/>
    </row>
    <row r="41" spans="1:10" ht="20.25" customHeight="1">
      <c r="A41" s="166"/>
      <c r="B41" s="219"/>
      <c r="C41" s="219"/>
      <c r="D41" s="219"/>
      <c r="E41" s="219"/>
      <c r="F41" s="219"/>
      <c r="G41" s="219"/>
      <c r="H41" s="219"/>
      <c r="I41" s="219"/>
      <c r="J41" s="219"/>
    </row>
    <row r="42" spans="1:10" ht="20.25" customHeight="1">
      <c r="A42" s="166"/>
      <c r="B42" s="219"/>
      <c r="C42" s="219"/>
      <c r="D42" s="219"/>
      <c r="E42" s="219"/>
      <c r="F42" s="219"/>
      <c r="G42" s="219"/>
      <c r="H42" s="219"/>
      <c r="I42" s="219"/>
      <c r="J42" s="219"/>
    </row>
    <row r="43" spans="1:10" ht="20.25" customHeight="1">
      <c r="A43" s="166"/>
      <c r="B43" s="220"/>
      <c r="C43" s="220"/>
      <c r="D43" s="220"/>
      <c r="E43" s="220"/>
      <c r="F43" s="220"/>
      <c r="G43" s="220"/>
      <c r="H43" s="220"/>
      <c r="I43" s="220"/>
      <c r="J43" s="220"/>
    </row>
    <row r="44" spans="1:10" ht="20.25" customHeight="1">
      <c r="A44" s="166"/>
      <c r="B44" s="219"/>
      <c r="C44" s="219"/>
      <c r="D44" s="219"/>
      <c r="E44" s="219"/>
      <c r="F44" s="219"/>
      <c r="G44" s="219"/>
      <c r="H44" s="219"/>
      <c r="I44" s="219"/>
      <c r="J44" s="219"/>
    </row>
    <row r="45" spans="1:10" ht="20.25" customHeight="1">
      <c r="A45" s="166"/>
      <c r="B45" s="219"/>
      <c r="C45" s="219"/>
      <c r="D45" s="219"/>
      <c r="E45" s="219"/>
      <c r="F45" s="219"/>
      <c r="G45" s="219"/>
      <c r="H45" s="219"/>
      <c r="I45" s="219"/>
      <c r="J45" s="219"/>
    </row>
    <row r="46" spans="1:10" ht="20.25" customHeight="1">
      <c r="A46" s="166"/>
      <c r="B46" s="219"/>
      <c r="C46" s="219"/>
      <c r="D46" s="219"/>
      <c r="E46" s="219"/>
      <c r="F46" s="219"/>
      <c r="G46" s="219"/>
      <c r="H46" s="219"/>
      <c r="I46" s="219"/>
      <c r="J46" s="219"/>
    </row>
    <row r="47" spans="1:10" ht="20.25" customHeight="1">
      <c r="A47" s="166"/>
      <c r="B47" s="219"/>
      <c r="C47" s="219"/>
      <c r="D47" s="219"/>
      <c r="E47" s="219"/>
      <c r="F47" s="219"/>
      <c r="G47" s="219"/>
      <c r="H47" s="219"/>
      <c r="I47" s="219"/>
      <c r="J47" s="219"/>
    </row>
    <row r="48" spans="1:10" ht="20.25" customHeight="1">
      <c r="A48" s="166"/>
      <c r="B48" s="219"/>
      <c r="C48" s="219"/>
      <c r="D48" s="219"/>
      <c r="E48" s="219"/>
      <c r="F48" s="219"/>
      <c r="G48" s="219"/>
      <c r="H48" s="219"/>
      <c r="I48" s="219"/>
      <c r="J48" s="219"/>
    </row>
    <row r="49" spans="1:10" ht="20.25" customHeight="1">
      <c r="A49" s="166"/>
      <c r="B49" s="219"/>
      <c r="C49" s="219"/>
      <c r="D49" s="219"/>
      <c r="E49" s="219"/>
      <c r="F49" s="219"/>
      <c r="G49" s="219"/>
      <c r="H49" s="219"/>
      <c r="I49" s="219"/>
      <c r="J49" s="219"/>
    </row>
    <row r="50" spans="1:10" ht="20.25" customHeight="1">
      <c r="A50" s="166"/>
      <c r="B50" s="219"/>
      <c r="C50" s="219"/>
      <c r="D50" s="219"/>
      <c r="E50" s="219"/>
      <c r="F50" s="219"/>
      <c r="G50" s="219"/>
      <c r="H50" s="219"/>
      <c r="I50" s="219"/>
      <c r="J50" s="219"/>
    </row>
    <row r="51" spans="1:10" ht="20.25" customHeight="1">
      <c r="A51" s="166"/>
      <c r="B51" s="220"/>
      <c r="C51" s="220"/>
      <c r="D51" s="220"/>
      <c r="E51" s="220"/>
      <c r="F51" s="220"/>
      <c r="G51" s="220"/>
      <c r="H51" s="220"/>
      <c r="I51" s="220"/>
      <c r="J51" s="220"/>
    </row>
    <row r="52" spans="1:10" ht="20.25" customHeight="1">
      <c r="A52" s="166"/>
      <c r="B52" s="219"/>
      <c r="C52" s="219"/>
      <c r="D52" s="219"/>
      <c r="E52" s="219"/>
      <c r="F52" s="219"/>
      <c r="G52" s="219"/>
      <c r="H52" s="219"/>
      <c r="I52" s="219"/>
      <c r="J52" s="219"/>
    </row>
    <row r="53" spans="1:10" ht="20.25" customHeight="1">
      <c r="A53" s="166"/>
      <c r="B53" s="219"/>
      <c r="C53" s="219"/>
      <c r="D53" s="219"/>
      <c r="E53" s="219"/>
      <c r="F53" s="219"/>
      <c r="G53" s="219"/>
      <c r="H53" s="219"/>
      <c r="I53" s="219"/>
      <c r="J53" s="219"/>
    </row>
    <row r="54" spans="1:10" ht="20.25" customHeight="1">
      <c r="A54" s="166"/>
      <c r="B54" s="219"/>
      <c r="C54" s="219"/>
      <c r="D54" s="219"/>
      <c r="E54" s="219"/>
      <c r="F54" s="219"/>
      <c r="G54" s="219"/>
      <c r="H54" s="219"/>
      <c r="I54" s="219"/>
      <c r="J54" s="219"/>
    </row>
    <row r="56" spans="1:10">
      <c r="D56" s="137"/>
      <c r="F56" s="137"/>
      <c r="H56" s="137"/>
    </row>
    <row r="57" spans="1:10">
      <c r="D57" s="137"/>
      <c r="F57" s="137"/>
      <c r="H57" s="137"/>
    </row>
    <row r="58" spans="1:10">
      <c r="B58" s="318"/>
      <c r="D58" s="318"/>
      <c r="F58" s="318"/>
      <c r="H58" s="318"/>
      <c r="J58" s="318"/>
    </row>
  </sheetData>
  <pageMargins left="0.7" right="0.7" top="0.75" bottom="0.75" header="0.3" footer="0.3"/>
  <pageSetup scale="54" orientation="portrait"/>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sheetPr codeName="Sheet28">
    <pageSetUpPr fitToPage="1"/>
  </sheetPr>
  <dimension ref="A1:I79"/>
  <sheetViews>
    <sheetView topLeftCell="A25" workbookViewId="0">
      <selection activeCell="H3" sqref="H3"/>
    </sheetView>
  </sheetViews>
  <sheetFormatPr defaultColWidth="8.85546875" defaultRowHeight="11.25"/>
  <cols>
    <col min="1" max="1" width="33.42578125" style="51" customWidth="1"/>
    <col min="2" max="2" width="10.7109375" style="51" bestFit="1" customWidth="1"/>
    <col min="3" max="3" width="1.42578125" style="51" customWidth="1"/>
    <col min="4" max="4" width="10.7109375" style="51" bestFit="1" customWidth="1"/>
    <col min="5" max="5" width="1" style="51" customWidth="1"/>
    <col min="6" max="6" width="10.7109375" style="51" bestFit="1" customWidth="1"/>
    <col min="7" max="7" width="1.28515625" style="51" customWidth="1"/>
    <col min="8" max="8" width="7.42578125" style="51" bestFit="1" customWidth="1"/>
    <col min="9" max="9" width="2.140625" style="51" customWidth="1"/>
    <col min="10" max="10" width="82.140625" style="51" bestFit="1" customWidth="1"/>
    <col min="11" max="16384" width="8.85546875" style="51"/>
  </cols>
  <sheetData>
    <row r="1" spans="1:8">
      <c r="B1" s="151">
        <f>'BS Comparative'!B3</f>
        <v>41274</v>
      </c>
      <c r="C1" s="151"/>
      <c r="D1" s="151">
        <f>'BS Comparative'!D3</f>
        <v>40908</v>
      </c>
      <c r="E1" s="151"/>
      <c r="F1" s="151">
        <f>'BS Comparative'!F3</f>
        <v>40543</v>
      </c>
      <c r="G1" s="151"/>
      <c r="H1" s="51" t="s">
        <v>194</v>
      </c>
    </row>
    <row r="2" spans="1:8">
      <c r="A2" s="152" t="s">
        <v>163</v>
      </c>
    </row>
    <row r="3" spans="1:8">
      <c r="A3" s="153" t="s">
        <v>178</v>
      </c>
      <c r="B3" s="154"/>
      <c r="C3" s="154"/>
      <c r="D3" s="154"/>
      <c r="E3" s="154"/>
      <c r="F3" s="154"/>
      <c r="G3" s="154"/>
      <c r="H3" s="51">
        <v>2.2000000000000002</v>
      </c>
    </row>
    <row r="4" spans="1:8">
      <c r="B4" s="155"/>
      <c r="C4" s="155"/>
      <c r="D4" s="155"/>
      <c r="E4" s="155"/>
      <c r="F4" s="155"/>
      <c r="G4" s="155"/>
    </row>
    <row r="5" spans="1:8">
      <c r="B5" s="155"/>
      <c r="C5" s="155"/>
      <c r="D5" s="155"/>
      <c r="E5" s="155"/>
      <c r="F5" s="155"/>
      <c r="G5" s="155"/>
    </row>
    <row r="7" spans="1:8">
      <c r="A7" s="153" t="s">
        <v>179</v>
      </c>
      <c r="B7" s="154"/>
      <c r="C7" s="154"/>
      <c r="D7" s="154"/>
      <c r="E7" s="154"/>
      <c r="F7" s="154"/>
      <c r="G7" s="154"/>
      <c r="H7" s="51">
        <v>1.6</v>
      </c>
    </row>
    <row r="8" spans="1:8">
      <c r="B8" s="155"/>
      <c r="C8" s="155"/>
      <c r="D8" s="155"/>
      <c r="E8" s="155"/>
      <c r="F8" s="155"/>
      <c r="G8" s="155"/>
    </row>
    <row r="9" spans="1:8">
      <c r="B9" s="155"/>
      <c r="C9" s="155"/>
      <c r="D9" s="155"/>
      <c r="E9" s="155"/>
      <c r="F9" s="155"/>
      <c r="G9" s="155"/>
    </row>
    <row r="11" spans="1:8">
      <c r="B11" s="155"/>
      <c r="C11" s="155"/>
      <c r="D11" s="155"/>
      <c r="E11" s="155"/>
      <c r="F11" s="155"/>
      <c r="G11" s="155"/>
    </row>
    <row r="13" spans="1:8">
      <c r="A13" s="153" t="s">
        <v>180</v>
      </c>
      <c r="B13" s="154"/>
      <c r="C13" s="154"/>
      <c r="D13" s="154"/>
      <c r="E13" s="154"/>
      <c r="F13" s="154"/>
      <c r="G13" s="154"/>
      <c r="H13" s="51">
        <v>10</v>
      </c>
    </row>
    <row r="14" spans="1:8">
      <c r="B14" s="155"/>
      <c r="C14" s="155"/>
      <c r="D14" s="155"/>
      <c r="E14" s="155"/>
      <c r="F14" s="155"/>
      <c r="G14" s="155"/>
    </row>
    <row r="15" spans="1:8">
      <c r="B15" s="155"/>
      <c r="C15" s="155"/>
      <c r="D15" s="155"/>
      <c r="E15" s="155"/>
      <c r="F15" s="155"/>
    </row>
    <row r="16" spans="1:8">
      <c r="B16" s="155"/>
      <c r="C16" s="155"/>
      <c r="D16" s="155"/>
      <c r="E16" s="155"/>
      <c r="F16" s="155"/>
      <c r="G16" s="155"/>
    </row>
    <row r="17" spans="1:9">
      <c r="B17" s="156"/>
      <c r="D17" s="156"/>
      <c r="F17" s="156"/>
    </row>
    <row r="19" spans="1:9">
      <c r="A19" s="153" t="s">
        <v>181</v>
      </c>
      <c r="B19" s="154"/>
      <c r="D19" s="154"/>
      <c r="E19" s="154"/>
      <c r="F19" s="154"/>
      <c r="G19" s="154"/>
      <c r="H19" s="51">
        <v>9.5</v>
      </c>
    </row>
    <row r="20" spans="1:9">
      <c r="B20" s="155"/>
      <c r="C20" s="155"/>
      <c r="D20" s="155"/>
      <c r="E20" s="155"/>
      <c r="F20" s="155"/>
      <c r="G20" s="155"/>
    </row>
    <row r="21" spans="1:9">
      <c r="B21" s="240"/>
      <c r="C21" s="240"/>
      <c r="D21" s="240"/>
      <c r="E21" s="240"/>
      <c r="F21" s="240"/>
      <c r="G21" s="156"/>
    </row>
    <row r="24" spans="1:9">
      <c r="A24" s="152" t="s">
        <v>182</v>
      </c>
    </row>
    <row r="26" spans="1:9">
      <c r="A26" s="153" t="s">
        <v>183</v>
      </c>
      <c r="B26" s="157"/>
      <c r="C26" s="157"/>
      <c r="D26" s="157"/>
      <c r="E26" s="157"/>
      <c r="F26" s="157"/>
      <c r="G26" s="157"/>
      <c r="H26" s="158">
        <v>3.5000000000000003E-2</v>
      </c>
    </row>
    <row r="27" spans="1:9">
      <c r="B27" s="155"/>
      <c r="C27" s="155"/>
      <c r="D27" s="155"/>
      <c r="E27" s="155"/>
      <c r="F27" s="155"/>
      <c r="G27" s="155"/>
      <c r="H27" s="159"/>
      <c r="I27" s="159"/>
    </row>
    <row r="28" spans="1:9">
      <c r="B28" s="155"/>
      <c r="C28" s="155"/>
      <c r="D28" s="155"/>
      <c r="E28" s="155"/>
      <c r="F28" s="155"/>
      <c r="G28" s="155"/>
      <c r="H28" s="159"/>
      <c r="I28" s="159"/>
    </row>
    <row r="29" spans="1:9">
      <c r="H29" s="159"/>
      <c r="I29" s="159"/>
    </row>
    <row r="30" spans="1:9">
      <c r="A30" s="153" t="s">
        <v>184</v>
      </c>
      <c r="B30" s="160"/>
      <c r="D30" s="160"/>
      <c r="F30" s="160"/>
      <c r="H30" s="159">
        <v>1.9</v>
      </c>
      <c r="I30" s="159"/>
    </row>
    <row r="31" spans="1:9">
      <c r="B31" s="155"/>
      <c r="D31" s="155"/>
      <c r="F31" s="155"/>
      <c r="H31" s="159"/>
      <c r="I31" s="159"/>
    </row>
    <row r="32" spans="1:9">
      <c r="B32" s="155"/>
      <c r="D32" s="155"/>
      <c r="F32" s="155"/>
      <c r="H32" s="159"/>
      <c r="I32" s="159"/>
    </row>
    <row r="33" spans="1:9">
      <c r="B33" s="155"/>
      <c r="D33" s="155"/>
      <c r="F33" s="155"/>
      <c r="H33" s="159"/>
      <c r="I33" s="159"/>
    </row>
    <row r="34" spans="1:9">
      <c r="B34" s="155"/>
      <c r="D34" s="155"/>
      <c r="F34" s="155"/>
      <c r="H34" s="159"/>
      <c r="I34" s="159"/>
    </row>
    <row r="35" spans="1:9">
      <c r="H35" s="159"/>
      <c r="I35" s="159"/>
    </row>
    <row r="36" spans="1:9">
      <c r="A36" s="153" t="s">
        <v>185</v>
      </c>
      <c r="B36" s="158"/>
      <c r="D36" s="158"/>
      <c r="F36" s="158"/>
      <c r="H36" s="158">
        <v>0.105</v>
      </c>
    </row>
    <row r="37" spans="1:9">
      <c r="B37" s="155"/>
      <c r="D37" s="155"/>
      <c r="F37" s="155"/>
    </row>
    <row r="38" spans="1:9">
      <c r="B38" s="156"/>
      <c r="D38" s="156"/>
      <c r="F38" s="156"/>
    </row>
    <row r="40" spans="1:9">
      <c r="A40" s="153" t="s">
        <v>186</v>
      </c>
    </row>
    <row r="41" spans="1:9">
      <c r="A41" s="153" t="s">
        <v>187</v>
      </c>
      <c r="B41" s="158"/>
      <c r="D41" s="158"/>
      <c r="F41" s="158"/>
      <c r="H41" s="158">
        <v>0.183</v>
      </c>
    </row>
    <row r="42" spans="1:9">
      <c r="B42" s="155"/>
      <c r="D42" s="155"/>
      <c r="F42" s="155"/>
    </row>
    <row r="44" spans="1:9">
      <c r="B44" s="155"/>
      <c r="D44" s="155"/>
      <c r="F44" s="155"/>
    </row>
    <row r="45" spans="1:9">
      <c r="B45" s="155"/>
      <c r="D45" s="155"/>
      <c r="F45" s="155"/>
    </row>
    <row r="46" spans="1:9">
      <c r="B46" s="240"/>
      <c r="C46" s="159"/>
      <c r="D46" s="240"/>
      <c r="E46" s="159"/>
      <c r="F46" s="240"/>
    </row>
    <row r="48" spans="1:9">
      <c r="A48" s="153" t="s">
        <v>188</v>
      </c>
      <c r="B48" s="161"/>
      <c r="D48" s="161"/>
      <c r="F48" s="161"/>
      <c r="H48" s="51">
        <v>3.05</v>
      </c>
    </row>
    <row r="49" spans="1:8">
      <c r="B49" s="155"/>
      <c r="D49" s="155"/>
      <c r="F49" s="155"/>
    </row>
    <row r="51" spans="1:8">
      <c r="B51" s="155"/>
      <c r="D51" s="155"/>
      <c r="F51" s="155"/>
    </row>
    <row r="53" spans="1:8">
      <c r="A53" s="153" t="s">
        <v>189</v>
      </c>
      <c r="B53" s="160"/>
      <c r="D53" s="160"/>
      <c r="F53" s="160"/>
      <c r="H53" s="51">
        <v>14.8</v>
      </c>
    </row>
    <row r="54" spans="1:8">
      <c r="B54" s="155"/>
      <c r="D54" s="155"/>
      <c r="F54" s="155"/>
    </row>
    <row r="55" spans="1:8">
      <c r="B55" s="162"/>
      <c r="D55" s="162"/>
      <c r="F55" s="162"/>
    </row>
    <row r="57" spans="1:8">
      <c r="A57" s="153" t="s">
        <v>190</v>
      </c>
      <c r="B57" s="158"/>
      <c r="D57" s="158"/>
      <c r="F57" s="158"/>
      <c r="H57" s="158">
        <v>0.15</v>
      </c>
    </row>
    <row r="58" spans="1:8">
      <c r="B58" s="155"/>
      <c r="D58" s="155"/>
      <c r="F58" s="155"/>
    </row>
    <row r="59" spans="1:8">
      <c r="B59" s="155"/>
      <c r="D59" s="155"/>
      <c r="F59" s="155"/>
    </row>
    <row r="62" spans="1:8">
      <c r="A62" s="152" t="s">
        <v>191</v>
      </c>
    </row>
    <row r="64" spans="1:8">
      <c r="A64" s="153" t="s">
        <v>192</v>
      </c>
      <c r="B64" s="158"/>
      <c r="D64" s="158"/>
      <c r="F64" s="158"/>
      <c r="H64" s="158">
        <v>0.42199999999999999</v>
      </c>
    </row>
    <row r="65" spans="1:6">
      <c r="B65" s="155"/>
      <c r="D65" s="155"/>
      <c r="F65" s="155"/>
    </row>
    <row r="66" spans="1:6">
      <c r="B66" s="155"/>
      <c r="D66" s="155"/>
      <c r="F66" s="155"/>
    </row>
    <row r="68" spans="1:6" ht="15">
      <c r="A68" s="135"/>
      <c r="B68" s="241" t="s">
        <v>457</v>
      </c>
      <c r="C68" s="241"/>
      <c r="D68" s="241" t="s">
        <v>458</v>
      </c>
      <c r="E68" s="241"/>
      <c r="F68" s="241" t="s">
        <v>283</v>
      </c>
    </row>
    <row r="69" spans="1:6" ht="15">
      <c r="A69" s="135" t="s">
        <v>175</v>
      </c>
      <c r="B69" s="114">
        <v>19200</v>
      </c>
      <c r="C69" s="135"/>
      <c r="D69" s="114">
        <v>16130</v>
      </c>
      <c r="E69" s="135"/>
      <c r="F69" s="114">
        <v>15000</v>
      </c>
    </row>
    <row r="70" spans="1:6" ht="15">
      <c r="A70" s="135" t="s">
        <v>176</v>
      </c>
      <c r="B70" s="114">
        <v>65000</v>
      </c>
      <c r="C70" s="135"/>
      <c r="D70" s="114">
        <v>65000</v>
      </c>
      <c r="E70" s="135"/>
      <c r="F70" s="114">
        <v>63750</v>
      </c>
    </row>
    <row r="71" spans="1:6" ht="15">
      <c r="A71" s="135" t="s">
        <v>284</v>
      </c>
      <c r="B71" s="114">
        <v>35</v>
      </c>
      <c r="C71" s="135"/>
      <c r="D71" s="114">
        <v>34</v>
      </c>
      <c r="E71" s="135"/>
      <c r="F71" s="114">
        <v>31</v>
      </c>
    </row>
    <row r="75" spans="1:6">
      <c r="A75" s="51" t="s">
        <v>193</v>
      </c>
    </row>
    <row r="76" spans="1:6">
      <c r="A76" s="51" t="s">
        <v>195</v>
      </c>
    </row>
    <row r="77" spans="1:6">
      <c r="A77" s="51" t="s">
        <v>196</v>
      </c>
    </row>
    <row r="78" spans="1:6">
      <c r="A78" s="51" t="s">
        <v>282</v>
      </c>
    </row>
    <row r="79" spans="1:6">
      <c r="A79" s="51" t="s">
        <v>197</v>
      </c>
    </row>
  </sheetData>
  <pageMargins left="0.7" right="0.7" top="0.75" bottom="0.75" header="0.3" footer="0.3"/>
  <pageSetup scale="56" orientation="portrait"/>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sheetPr codeName="Sheet23">
    <pageSetUpPr fitToPage="1"/>
  </sheetPr>
  <dimension ref="A1:M40"/>
  <sheetViews>
    <sheetView zoomScale="120" zoomScaleNormal="120" zoomScalePageLayoutView="120" workbookViewId="0">
      <selection activeCell="O33" sqref="O33"/>
    </sheetView>
  </sheetViews>
  <sheetFormatPr defaultColWidth="8.85546875" defaultRowHeight="12"/>
  <cols>
    <col min="1" max="1" width="6.140625" style="27" bestFit="1" customWidth="1"/>
    <col min="2" max="2" width="7.140625" style="28" bestFit="1" customWidth="1"/>
    <col min="3" max="3" width="8.28515625" style="29" bestFit="1" customWidth="1"/>
    <col min="4" max="4" width="10.7109375" style="29" bestFit="1" customWidth="1"/>
    <col min="5" max="5" width="5.140625" style="28" bestFit="1" customWidth="1"/>
    <col min="6" max="6" width="6.85546875" style="29" bestFit="1" customWidth="1"/>
    <col min="7" max="7" width="10.7109375" style="29" bestFit="1" customWidth="1"/>
    <col min="8" max="8" width="9" style="28" bestFit="1" customWidth="1"/>
    <col min="9" max="10" width="10.7109375" style="29" bestFit="1" customWidth="1"/>
    <col min="11" max="11" width="7" style="28" bestFit="1" customWidth="1"/>
    <col min="12" max="12" width="9.85546875" style="29" bestFit="1" customWidth="1"/>
    <col min="13" max="13" width="10.7109375" style="29" bestFit="1" customWidth="1"/>
    <col min="14" max="16384" width="8.85546875" style="27"/>
  </cols>
  <sheetData>
    <row r="1" spans="1:13">
      <c r="A1" s="27" t="s">
        <v>88</v>
      </c>
      <c r="B1" s="34" t="str">
        <f>Products!A2</f>
        <v>GPS</v>
      </c>
    </row>
    <row r="2" spans="1:13">
      <c r="B2" s="78" t="s">
        <v>148</v>
      </c>
      <c r="C2" s="79"/>
      <c r="D2" s="80"/>
      <c r="E2" s="75" t="s">
        <v>157</v>
      </c>
      <c r="F2" s="76"/>
      <c r="G2" s="77"/>
      <c r="H2" s="72" t="s">
        <v>22</v>
      </c>
      <c r="I2" s="73"/>
      <c r="J2" s="74"/>
      <c r="K2" s="69" t="s">
        <v>150</v>
      </c>
      <c r="L2" s="70"/>
      <c r="M2" s="71"/>
    </row>
    <row r="3" spans="1:13" s="30" customFormat="1" ht="24">
      <c r="A3" s="31" t="s">
        <v>35</v>
      </c>
      <c r="B3" s="52" t="s">
        <v>89</v>
      </c>
      <c r="C3" s="53" t="s">
        <v>90</v>
      </c>
      <c r="D3" s="53" t="s">
        <v>91</v>
      </c>
      <c r="E3" s="56" t="s">
        <v>92</v>
      </c>
      <c r="F3" s="57" t="s">
        <v>93</v>
      </c>
      <c r="G3" s="57" t="s">
        <v>94</v>
      </c>
      <c r="H3" s="60" t="s">
        <v>99</v>
      </c>
      <c r="I3" s="61" t="s">
        <v>100</v>
      </c>
      <c r="J3" s="61" t="s">
        <v>101</v>
      </c>
      <c r="K3" s="65" t="s">
        <v>95</v>
      </c>
      <c r="L3" s="66" t="s">
        <v>96</v>
      </c>
      <c r="M3" s="66" t="s">
        <v>97</v>
      </c>
    </row>
    <row r="4" spans="1:13">
      <c r="A4" s="32">
        <v>40330</v>
      </c>
      <c r="B4" s="54">
        <v>3300</v>
      </c>
      <c r="C4" s="55">
        <v>35</v>
      </c>
      <c r="D4" s="55">
        <f>B4*C4</f>
        <v>115500</v>
      </c>
      <c r="E4" s="58"/>
      <c r="F4" s="59"/>
      <c r="G4" s="59">
        <f>E4*F4</f>
        <v>0</v>
      </c>
      <c r="H4" s="62"/>
      <c r="I4" s="63"/>
      <c r="J4" s="63">
        <f>H4*I4</f>
        <v>0</v>
      </c>
      <c r="K4" s="67"/>
      <c r="L4" s="68"/>
      <c r="M4" s="68">
        <f>D4+G4-J4</f>
        <v>115500</v>
      </c>
    </row>
    <row r="5" spans="1:13">
      <c r="A5" s="32"/>
      <c r="B5" s="54"/>
      <c r="C5" s="55"/>
      <c r="D5" s="55"/>
      <c r="E5" s="58"/>
      <c r="F5" s="59"/>
      <c r="G5" s="59"/>
      <c r="H5" s="62"/>
      <c r="I5" s="63"/>
      <c r="J5" s="63"/>
      <c r="K5" s="67"/>
      <c r="L5" s="68"/>
      <c r="M5" s="68"/>
    </row>
    <row r="6" spans="1:13">
      <c r="A6" s="32"/>
      <c r="B6" s="54"/>
      <c r="C6" s="55"/>
      <c r="D6" s="55"/>
      <c r="E6" s="58"/>
      <c r="F6" s="59"/>
      <c r="G6" s="59"/>
      <c r="H6" s="62"/>
      <c r="I6" s="63"/>
      <c r="J6" s="63"/>
      <c r="K6" s="67"/>
      <c r="L6" s="68"/>
      <c r="M6" s="68"/>
    </row>
    <row r="7" spans="1:13">
      <c r="A7" s="32"/>
      <c r="B7" s="54"/>
      <c r="C7" s="55"/>
      <c r="D7" s="55"/>
      <c r="E7" s="58"/>
      <c r="F7" s="59"/>
      <c r="G7" s="59"/>
      <c r="H7" s="62"/>
      <c r="I7" s="64"/>
      <c r="J7" s="63"/>
      <c r="K7" s="67"/>
      <c r="L7" s="68"/>
      <c r="M7" s="68"/>
    </row>
    <row r="8" spans="1:13" ht="12.75" thickBot="1">
      <c r="A8" s="33"/>
      <c r="B8" s="54"/>
      <c r="C8" s="55"/>
      <c r="D8" s="55"/>
      <c r="E8" s="58"/>
      <c r="F8" s="59"/>
      <c r="G8" s="59"/>
      <c r="H8" s="62"/>
      <c r="I8" s="63"/>
      <c r="J8" s="236"/>
      <c r="K8" s="67"/>
      <c r="L8" s="68"/>
      <c r="M8" s="68"/>
    </row>
    <row r="9" spans="1:13" ht="12.75" thickTop="1">
      <c r="A9" s="32"/>
      <c r="B9" s="54"/>
      <c r="C9" s="55"/>
      <c r="D9" s="55"/>
      <c r="E9" s="58"/>
      <c r="F9" s="59"/>
      <c r="G9" s="59"/>
      <c r="H9" s="62"/>
      <c r="I9" s="63"/>
      <c r="J9" s="235"/>
      <c r="K9" s="67"/>
      <c r="L9" s="68"/>
      <c r="M9" s="68"/>
    </row>
    <row r="10" spans="1:13">
      <c r="A10" s="32"/>
      <c r="B10" s="54"/>
      <c r="C10" s="55"/>
      <c r="D10" s="55"/>
      <c r="E10" s="58"/>
      <c r="F10" s="59"/>
      <c r="G10" s="59"/>
      <c r="H10" s="62"/>
      <c r="I10" s="63"/>
      <c r="J10" s="235"/>
      <c r="K10" s="67"/>
      <c r="L10" s="68"/>
      <c r="M10" s="68"/>
    </row>
    <row r="11" spans="1:13">
      <c r="A11" s="32"/>
      <c r="B11" s="54"/>
      <c r="C11" s="55"/>
      <c r="D11" s="55"/>
      <c r="E11" s="58"/>
      <c r="F11" s="59"/>
      <c r="G11" s="59"/>
      <c r="H11" s="62"/>
      <c r="I11" s="63"/>
      <c r="J11" s="63"/>
      <c r="K11" s="67"/>
      <c r="L11" s="68"/>
      <c r="M11" s="68"/>
    </row>
    <row r="12" spans="1:13">
      <c r="A12" s="32"/>
      <c r="B12" s="55"/>
      <c r="C12" s="55"/>
      <c r="D12" s="55"/>
      <c r="E12" s="58"/>
      <c r="F12" s="59"/>
      <c r="G12" s="59"/>
      <c r="H12" s="62"/>
      <c r="I12" s="63"/>
      <c r="J12" s="63"/>
      <c r="K12" s="67"/>
      <c r="L12" s="68"/>
      <c r="M12" s="68"/>
    </row>
    <row r="13" spans="1:13">
      <c r="A13" s="32"/>
      <c r="B13" s="54"/>
      <c r="C13" s="55"/>
      <c r="D13" s="55"/>
      <c r="E13" s="58"/>
      <c r="F13" s="59"/>
      <c r="G13" s="59"/>
      <c r="H13" s="62"/>
      <c r="I13" s="63"/>
      <c r="J13" s="63"/>
      <c r="K13" s="67"/>
      <c r="L13" s="68"/>
      <c r="M13" s="68"/>
    </row>
    <row r="14" spans="1:13">
      <c r="A14" s="33"/>
      <c r="B14" s="54"/>
      <c r="C14" s="55"/>
      <c r="D14" s="55"/>
      <c r="E14" s="58"/>
      <c r="F14" s="59"/>
      <c r="G14" s="59"/>
      <c r="H14" s="62"/>
      <c r="I14" s="63"/>
      <c r="J14" s="63"/>
      <c r="K14" s="67"/>
      <c r="L14" s="68"/>
      <c r="M14" s="68"/>
    </row>
    <row r="15" spans="1:13">
      <c r="A15" s="28"/>
    </row>
    <row r="16" spans="1:13">
      <c r="A16" s="27" t="s">
        <v>88</v>
      </c>
      <c r="B16" s="34" t="str">
        <f>Products!A3</f>
        <v>DVD Player</v>
      </c>
    </row>
    <row r="17" spans="1:13">
      <c r="B17" s="78" t="s">
        <v>148</v>
      </c>
      <c r="C17" s="79"/>
      <c r="D17" s="80"/>
      <c r="E17" s="75" t="s">
        <v>149</v>
      </c>
      <c r="F17" s="76"/>
      <c r="G17" s="77"/>
      <c r="H17" s="72" t="s">
        <v>22</v>
      </c>
      <c r="I17" s="73"/>
      <c r="J17" s="74"/>
      <c r="K17" s="69" t="s">
        <v>150</v>
      </c>
      <c r="L17" s="70"/>
      <c r="M17" s="71"/>
    </row>
    <row r="18" spans="1:13" ht="24">
      <c r="A18" s="31" t="s">
        <v>35</v>
      </c>
      <c r="B18" s="52" t="s">
        <v>89</v>
      </c>
      <c r="C18" s="53" t="s">
        <v>90</v>
      </c>
      <c r="D18" s="53" t="s">
        <v>91</v>
      </c>
      <c r="E18" s="56" t="s">
        <v>92</v>
      </c>
      <c r="F18" s="57" t="s">
        <v>93</v>
      </c>
      <c r="G18" s="57" t="s">
        <v>94</v>
      </c>
      <c r="H18" s="60" t="s">
        <v>99</v>
      </c>
      <c r="I18" s="61" t="s">
        <v>100</v>
      </c>
      <c r="J18" s="61" t="s">
        <v>101</v>
      </c>
      <c r="K18" s="65" t="s">
        <v>95</v>
      </c>
      <c r="L18" s="66" t="s">
        <v>96</v>
      </c>
      <c r="M18" s="66" t="s">
        <v>97</v>
      </c>
    </row>
    <row r="19" spans="1:13">
      <c r="A19" s="32">
        <v>40330</v>
      </c>
      <c r="B19" s="54">
        <v>2500</v>
      </c>
      <c r="C19" s="55">
        <v>65</v>
      </c>
      <c r="D19" s="55">
        <f>B19*C19</f>
        <v>162500</v>
      </c>
      <c r="E19" s="58"/>
      <c r="F19" s="59"/>
      <c r="G19" s="59">
        <f>E19*F19</f>
        <v>0</v>
      </c>
      <c r="H19" s="62"/>
      <c r="I19" s="63"/>
      <c r="J19" s="63">
        <f>H19*I19</f>
        <v>0</v>
      </c>
      <c r="K19" s="67"/>
      <c r="L19" s="68"/>
      <c r="M19" s="68">
        <f>D19</f>
        <v>162500</v>
      </c>
    </row>
    <row r="20" spans="1:13">
      <c r="A20" s="32"/>
      <c r="B20" s="54"/>
      <c r="C20" s="55"/>
      <c r="D20" s="55"/>
      <c r="E20" s="58"/>
      <c r="F20" s="59"/>
      <c r="G20" s="59"/>
      <c r="H20" s="62"/>
      <c r="I20" s="63"/>
      <c r="J20" s="63"/>
      <c r="K20" s="67"/>
      <c r="L20" s="68"/>
      <c r="M20" s="68"/>
    </row>
    <row r="21" spans="1:13">
      <c r="A21" s="32"/>
      <c r="B21" s="54"/>
      <c r="C21" s="55"/>
      <c r="D21" s="55"/>
      <c r="E21" s="58"/>
      <c r="F21" s="59"/>
      <c r="G21" s="59"/>
      <c r="H21" s="62"/>
      <c r="I21" s="63"/>
      <c r="J21" s="63"/>
      <c r="K21" s="67"/>
      <c r="L21" s="68"/>
      <c r="M21" s="68"/>
    </row>
    <row r="22" spans="1:13">
      <c r="A22" s="32"/>
      <c r="B22" s="55"/>
      <c r="C22" s="55"/>
      <c r="D22" s="55"/>
      <c r="E22" s="58"/>
      <c r="F22" s="59"/>
      <c r="G22" s="59"/>
      <c r="H22" s="62"/>
      <c r="I22" s="64"/>
      <c r="J22" s="63"/>
      <c r="K22" s="67"/>
      <c r="L22" s="68"/>
      <c r="M22" s="68"/>
    </row>
    <row r="23" spans="1:13">
      <c r="A23" s="32"/>
      <c r="B23" s="54"/>
      <c r="C23" s="55"/>
      <c r="D23" s="55"/>
      <c r="E23" s="58"/>
      <c r="F23" s="59"/>
      <c r="G23" s="59"/>
      <c r="H23" s="62"/>
      <c r="I23" s="63"/>
      <c r="J23" s="63"/>
      <c r="K23" s="67"/>
      <c r="L23" s="68"/>
      <c r="M23" s="68"/>
    </row>
    <row r="24" spans="1:13">
      <c r="A24" s="33"/>
      <c r="B24" s="54"/>
      <c r="C24" s="55"/>
      <c r="D24" s="55"/>
      <c r="E24" s="58"/>
      <c r="F24" s="59"/>
      <c r="G24" s="59"/>
      <c r="H24" s="62"/>
      <c r="I24" s="63"/>
      <c r="J24" s="63"/>
      <c r="K24" s="67"/>
      <c r="L24" s="68"/>
      <c r="M24" s="68"/>
    </row>
    <row r="25" spans="1:13">
      <c r="A25" s="33"/>
      <c r="B25" s="54"/>
      <c r="C25" s="55"/>
      <c r="D25" s="55"/>
      <c r="E25" s="58"/>
      <c r="F25" s="59"/>
      <c r="G25" s="59"/>
      <c r="H25" s="62"/>
      <c r="I25" s="63"/>
      <c r="J25" s="63"/>
      <c r="K25" s="67"/>
      <c r="L25" s="68"/>
      <c r="M25" s="68"/>
    </row>
    <row r="26" spans="1:13">
      <c r="A26" s="33"/>
      <c r="B26" s="54"/>
      <c r="C26" s="55"/>
      <c r="D26" s="55"/>
      <c r="E26" s="58"/>
      <c r="F26" s="59"/>
      <c r="G26" s="59"/>
      <c r="H26" s="62"/>
      <c r="I26" s="63"/>
      <c r="J26" s="63"/>
      <c r="K26" s="67"/>
      <c r="L26" s="68"/>
      <c r="M26" s="68"/>
    </row>
    <row r="27" spans="1:13">
      <c r="A27" s="33"/>
      <c r="B27" s="54"/>
      <c r="C27" s="55"/>
      <c r="D27" s="55"/>
      <c r="E27" s="58"/>
      <c r="F27" s="59"/>
      <c r="G27" s="59"/>
      <c r="H27" s="62"/>
      <c r="I27" s="63"/>
      <c r="J27" s="63"/>
      <c r="K27" s="67"/>
      <c r="L27" s="68"/>
      <c r="M27" s="68"/>
    </row>
    <row r="29" spans="1:13">
      <c r="A29" s="27" t="s">
        <v>88</v>
      </c>
      <c r="B29" s="34" t="str">
        <f>Products!A4</f>
        <v>Docking Station</v>
      </c>
    </row>
    <row r="30" spans="1:13">
      <c r="B30" s="78" t="s">
        <v>148</v>
      </c>
      <c r="C30" s="79"/>
      <c r="D30" s="80"/>
      <c r="E30" s="75" t="s">
        <v>149</v>
      </c>
      <c r="F30" s="76"/>
      <c r="G30" s="77"/>
      <c r="H30" s="72" t="s">
        <v>22</v>
      </c>
      <c r="I30" s="73"/>
      <c r="J30" s="74"/>
      <c r="K30" s="69" t="s">
        <v>150</v>
      </c>
      <c r="L30" s="70"/>
      <c r="M30" s="71"/>
    </row>
    <row r="31" spans="1:13" ht="24">
      <c r="A31" s="31" t="s">
        <v>35</v>
      </c>
      <c r="B31" s="52" t="s">
        <v>89</v>
      </c>
      <c r="C31" s="53" t="s">
        <v>90</v>
      </c>
      <c r="D31" s="53" t="s">
        <v>91</v>
      </c>
      <c r="E31" s="56" t="s">
        <v>92</v>
      </c>
      <c r="F31" s="57" t="s">
        <v>93</v>
      </c>
      <c r="G31" s="57" t="s">
        <v>94</v>
      </c>
      <c r="H31" s="60" t="s">
        <v>99</v>
      </c>
      <c r="I31" s="61" t="s">
        <v>100</v>
      </c>
      <c r="J31" s="61" t="s">
        <v>101</v>
      </c>
      <c r="K31" s="65" t="s">
        <v>95</v>
      </c>
      <c r="L31" s="66" t="s">
        <v>96</v>
      </c>
      <c r="M31" s="66" t="s">
        <v>97</v>
      </c>
    </row>
    <row r="32" spans="1:13">
      <c r="A32" s="32">
        <v>40330</v>
      </c>
      <c r="B32" s="54">
        <v>1400</v>
      </c>
      <c r="C32" s="55">
        <v>40</v>
      </c>
      <c r="D32" s="55">
        <f>B32*C32</f>
        <v>56000</v>
      </c>
      <c r="E32" s="58"/>
      <c r="F32" s="59"/>
      <c r="G32" s="59"/>
      <c r="H32" s="62"/>
      <c r="I32" s="63"/>
      <c r="J32" s="63">
        <f>H32*I32</f>
        <v>0</v>
      </c>
      <c r="K32" s="67"/>
      <c r="L32" s="68"/>
      <c r="M32" s="68">
        <f>D32+G32-J32</f>
        <v>56000</v>
      </c>
    </row>
    <row r="33" spans="1:13">
      <c r="A33" s="230"/>
      <c r="B33" s="231"/>
      <c r="C33" s="232"/>
      <c r="D33" s="232"/>
      <c r="E33" s="233"/>
      <c r="F33" s="234"/>
      <c r="G33" s="234"/>
      <c r="H33" s="62"/>
      <c r="I33" s="63"/>
      <c r="J33" s="63"/>
      <c r="K33" s="67"/>
      <c r="L33" s="68"/>
      <c r="M33" s="68"/>
    </row>
    <row r="34" spans="1:13">
      <c r="A34" s="32"/>
      <c r="B34" s="55"/>
      <c r="C34" s="55"/>
      <c r="D34" s="55"/>
      <c r="E34" s="58"/>
      <c r="F34" s="59"/>
      <c r="G34" s="59"/>
      <c r="H34" s="62"/>
      <c r="I34" s="63"/>
      <c r="J34" s="63"/>
      <c r="K34" s="67"/>
      <c r="L34" s="68"/>
      <c r="M34" s="68"/>
    </row>
    <row r="35" spans="1:13">
      <c r="A35" s="32"/>
      <c r="B35" s="54"/>
      <c r="C35" s="55"/>
      <c r="D35" s="55"/>
      <c r="E35" s="58"/>
      <c r="F35" s="59"/>
      <c r="G35" s="59"/>
      <c r="H35" s="62"/>
      <c r="I35" s="64"/>
      <c r="J35" s="63"/>
      <c r="K35" s="67"/>
      <c r="L35" s="68"/>
      <c r="M35" s="68"/>
    </row>
    <row r="36" spans="1:13">
      <c r="A36" s="32"/>
      <c r="B36" s="54"/>
      <c r="C36" s="55"/>
      <c r="D36" s="55"/>
      <c r="E36" s="58"/>
      <c r="F36" s="59"/>
      <c r="G36" s="59"/>
      <c r="H36" s="62"/>
      <c r="I36" s="63"/>
      <c r="J36" s="63"/>
      <c r="K36" s="67"/>
      <c r="L36" s="68"/>
      <c r="M36" s="68"/>
    </row>
    <row r="37" spans="1:13">
      <c r="A37" s="32"/>
      <c r="B37" s="54"/>
      <c r="C37" s="55"/>
      <c r="D37" s="55"/>
      <c r="E37" s="58"/>
      <c r="F37" s="59"/>
      <c r="G37" s="59"/>
      <c r="H37" s="62"/>
      <c r="I37" s="63"/>
      <c r="J37" s="63"/>
      <c r="K37" s="67"/>
      <c r="L37" s="68"/>
      <c r="M37" s="68"/>
    </row>
    <row r="38" spans="1:13" ht="12.75" thickBot="1">
      <c r="A38" s="32"/>
      <c r="B38" s="54"/>
      <c r="C38" s="55"/>
      <c r="D38" s="55"/>
      <c r="E38" s="58"/>
      <c r="F38" s="59"/>
      <c r="G38" s="59"/>
      <c r="H38" s="62"/>
      <c r="I38" s="63"/>
      <c r="J38" s="236"/>
      <c r="K38" s="67"/>
      <c r="L38" s="68"/>
      <c r="M38" s="68"/>
    </row>
    <row r="39" spans="1:13" ht="12.75" thickTop="1">
      <c r="A39" s="32"/>
      <c r="B39" s="54"/>
      <c r="C39" s="55"/>
      <c r="D39" s="55"/>
      <c r="E39" s="58"/>
      <c r="F39" s="59"/>
      <c r="G39" s="59"/>
      <c r="H39" s="62"/>
      <c r="I39" s="63"/>
      <c r="J39" s="235"/>
      <c r="K39" s="67"/>
      <c r="L39" s="68"/>
      <c r="M39" s="68"/>
    </row>
    <row r="40" spans="1:13">
      <c r="B40" s="27"/>
      <c r="C40" s="27"/>
      <c r="D40" s="27"/>
      <c r="E40" s="27"/>
      <c r="F40" s="27"/>
      <c r="G40" s="27"/>
      <c r="H40" s="27"/>
      <c r="I40" s="27"/>
      <c r="J40" s="27"/>
      <c r="K40" s="27"/>
      <c r="L40" s="27"/>
      <c r="M40" s="27"/>
    </row>
  </sheetData>
  <pageMargins left="0.7" right="0.7" top="0.75" bottom="0.75" header="0.3" footer="0.3"/>
  <pageSetup scale="81" orientation="portrait"/>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sheetPr codeName="Sheet30"/>
  <dimension ref="A1:AA138"/>
  <sheetViews>
    <sheetView zoomScale="90" zoomScaleNormal="90" zoomScalePageLayoutView="90" workbookViewId="0">
      <selection sqref="A1:XFD1048576"/>
    </sheetView>
  </sheetViews>
  <sheetFormatPr defaultColWidth="8.85546875" defaultRowHeight="15"/>
  <cols>
    <col min="1" max="1" width="11.7109375" style="336" customWidth="1"/>
    <col min="2" max="2" width="16" style="336" customWidth="1"/>
    <col min="3" max="3" width="21.42578125" style="336" bestFit="1" customWidth="1"/>
    <col min="4" max="4" width="21.42578125" style="336" customWidth="1"/>
    <col min="5" max="5" width="9" style="336" bestFit="1" customWidth="1"/>
    <col min="6" max="6" width="12.7109375" style="337" customWidth="1"/>
    <col min="7" max="7" width="16.140625" style="337" bestFit="1" customWidth="1"/>
    <col min="8" max="8" width="11.85546875" style="338" customWidth="1"/>
    <col min="9" max="9" width="13.85546875" style="339" customWidth="1"/>
    <col min="10" max="10" width="17" style="337" customWidth="1"/>
    <col min="11" max="11" width="17.28515625" style="337" customWidth="1"/>
    <col min="12" max="12" width="16.42578125" style="337" customWidth="1"/>
    <col min="13" max="13" width="19.7109375" style="336" customWidth="1"/>
    <col min="14" max="14" width="13.140625" style="339" customWidth="1"/>
    <col min="15" max="15" width="12" style="336" customWidth="1"/>
    <col min="16" max="16" width="14.42578125" style="337" customWidth="1"/>
    <col min="17" max="17" width="14.28515625" style="337" customWidth="1"/>
    <col min="18" max="18" width="8" style="336" customWidth="1"/>
    <col min="19" max="19" width="9" style="336" bestFit="1" customWidth="1"/>
    <col min="20" max="20" width="8.85546875" style="336"/>
    <col min="21" max="21" width="11.140625" style="336" bestFit="1" customWidth="1"/>
    <col min="22" max="22" width="9" style="336" bestFit="1" customWidth="1"/>
    <col min="23" max="23" width="23.140625" style="336" bestFit="1" customWidth="1"/>
    <col min="24" max="24" width="8.85546875" style="336"/>
    <col min="25" max="25" width="9" style="336" bestFit="1" customWidth="1"/>
    <col min="26" max="26" width="8.85546875" style="336"/>
    <col min="27" max="27" width="119.85546875" style="336" bestFit="1" customWidth="1"/>
    <col min="28" max="16384" width="8.85546875" style="336"/>
  </cols>
  <sheetData>
    <row r="1" spans="1:27">
      <c r="A1" s="336" t="s">
        <v>35</v>
      </c>
      <c r="B1" s="336" t="s">
        <v>298</v>
      </c>
      <c r="C1" s="336" t="s">
        <v>299</v>
      </c>
      <c r="D1" s="336" t="s">
        <v>325</v>
      </c>
      <c r="E1" s="336" t="s">
        <v>300</v>
      </c>
      <c r="F1" s="337" t="s">
        <v>301</v>
      </c>
      <c r="G1" s="337" t="s">
        <v>302</v>
      </c>
      <c r="H1" s="338" t="s">
        <v>307</v>
      </c>
      <c r="I1" s="339" t="s">
        <v>308</v>
      </c>
      <c r="J1" s="337" t="s">
        <v>309</v>
      </c>
      <c r="K1" s="337" t="s">
        <v>310</v>
      </c>
      <c r="L1" s="337" t="s">
        <v>311</v>
      </c>
      <c r="M1" s="336" t="s">
        <v>303</v>
      </c>
      <c r="N1" s="339" t="s">
        <v>304</v>
      </c>
      <c r="O1" s="336" t="s">
        <v>377</v>
      </c>
      <c r="P1" s="337" t="s">
        <v>305</v>
      </c>
      <c r="Q1" s="337" t="s">
        <v>306</v>
      </c>
      <c r="R1" s="336" t="s">
        <v>376</v>
      </c>
      <c r="S1" s="336" t="s">
        <v>368</v>
      </c>
      <c r="T1" s="336" t="s">
        <v>369</v>
      </c>
      <c r="U1" s="336" t="s">
        <v>370</v>
      </c>
      <c r="V1" s="336" t="s">
        <v>371</v>
      </c>
      <c r="W1" s="336" t="s">
        <v>372</v>
      </c>
      <c r="X1" s="336" t="s">
        <v>373</v>
      </c>
      <c r="Y1" s="336" t="s">
        <v>374</v>
      </c>
      <c r="Z1" s="336" t="s">
        <v>375</v>
      </c>
      <c r="AA1" s="336" t="s">
        <v>381</v>
      </c>
    </row>
    <row r="2" spans="1:27">
      <c r="A2" s="290">
        <v>41426</v>
      </c>
      <c r="B2" s="336" t="s">
        <v>312</v>
      </c>
      <c r="C2" s="336" t="s">
        <v>137</v>
      </c>
      <c r="D2" s="336" t="s">
        <v>164</v>
      </c>
      <c r="M2" s="337">
        <v>200000</v>
      </c>
      <c r="N2" s="338">
        <v>7.4999999999999997E-2</v>
      </c>
      <c r="O2" s="336">
        <v>3</v>
      </c>
      <c r="R2" s="336" t="s">
        <v>378</v>
      </c>
      <c r="S2" s="336">
        <f>Table1[[#This Row],[Duration (years)]]</f>
        <v>3</v>
      </c>
      <c r="T2" s="336" t="s">
        <v>379</v>
      </c>
      <c r="U2" s="336">
        <f>Table1[[#This Row],[Interest]]*100</f>
        <v>7.5</v>
      </c>
      <c r="V2" s="336">
        <f>Table1[[#This Row],[L/T Payable]]</f>
        <v>200000</v>
      </c>
      <c r="W2" s="336" t="s">
        <v>380</v>
      </c>
      <c r="AA2" s="336" t="str">
        <f>CONCATENATE(Table1[[#This Row],[Concatenate1]]," ",Table1[[#This Row],[Concatenate2]]," ",Table1[[#This Row],[Concatenate3]]," ",Table1[[#This Row],[Concatenate4]],"% , $",Table1[[#This Row],[Concatenate5]]," ",Table1[[#This Row],[Concatenate6]])</f>
        <v>Signed a 3 year 7.5% , $200000 note payable with First Bank.</v>
      </c>
    </row>
    <row r="3" spans="1:27">
      <c r="A3" s="290">
        <v>41426</v>
      </c>
      <c r="B3" s="336" t="s">
        <v>313</v>
      </c>
      <c r="C3" s="336" t="s">
        <v>48</v>
      </c>
      <c r="E3" s="336">
        <v>3000</v>
      </c>
      <c r="F3" s="337">
        <v>36</v>
      </c>
      <c r="G3" s="337">
        <f>E3*F3</f>
        <v>108000</v>
      </c>
      <c r="H3" s="338" t="s">
        <v>314</v>
      </c>
      <c r="I3" s="339">
        <v>0.02</v>
      </c>
      <c r="J3" s="337">
        <f>G3</f>
        <v>108000</v>
      </c>
      <c r="M3" s="337"/>
      <c r="R3" s="336" t="s">
        <v>385</v>
      </c>
      <c r="S3" s="336">
        <f>Table1[[#This Row],[Units]]</f>
        <v>3000</v>
      </c>
      <c r="T3" s="336" t="s">
        <v>384</v>
      </c>
      <c r="U3" s="336">
        <f>Table1[[#This Row],[$ per Unit]]</f>
        <v>36</v>
      </c>
      <c r="V3" s="336" t="s">
        <v>383</v>
      </c>
      <c r="AA3" s="336" t="str">
        <f>CONCATENATE(Table1[[#This Row],[Concatenate1]]," ",Table1[[#This Row],[Concatenate2]]," ",Table1[[#This Row],[Concatenate3]],"",Table1[[#This Row],[Concatenate4]]," ",Table1[[#This Row],[Concatenate5]]," ",Table1[[#This Row],[Concatenate6]])</f>
        <v xml:space="preserve">Purchased 3000 GPS units on credit from Navistar for $36 per unit. </v>
      </c>
    </row>
    <row r="4" spans="1:27">
      <c r="A4" s="290">
        <v>41426</v>
      </c>
      <c r="B4" s="336" t="s">
        <v>315</v>
      </c>
      <c r="C4" s="336" t="s">
        <v>41</v>
      </c>
      <c r="E4" s="336">
        <v>2000</v>
      </c>
      <c r="F4" s="337">
        <v>76</v>
      </c>
      <c r="G4" s="337">
        <f>E4*F4</f>
        <v>152000</v>
      </c>
      <c r="H4" s="338" t="s">
        <v>314</v>
      </c>
      <c r="I4" s="339">
        <v>0.02</v>
      </c>
      <c r="J4" s="337">
        <f>Table1[[#This Row],[Total $]]</f>
        <v>152000</v>
      </c>
      <c r="M4" s="337"/>
      <c r="R4" s="336" t="s">
        <v>386</v>
      </c>
      <c r="S4" s="336">
        <f>Table1[[#This Row],[Units]]</f>
        <v>2000</v>
      </c>
      <c r="T4" s="336" t="s">
        <v>388</v>
      </c>
      <c r="U4" s="336">
        <f>Table1[[#This Row],[$ per Unit]]</f>
        <v>76</v>
      </c>
      <c r="V4" s="336" t="s">
        <v>387</v>
      </c>
      <c r="AA4" s="336" t="str">
        <f>CONCATENATE(Table1[[#This Row],[Concatenate1]]," ",Table1[[#This Row],[Concatenate2]]," ",Table1[[#This Row],[Concatenate3]]," $",Table1[[#This Row],[Concatenate4]]," ",Table1[[#This Row],[Concatenate5]]," ",Table1[[#This Row],[Concatenate6]])</f>
        <v xml:space="preserve">Sold 2000 DVD players on account to Toyota for $76 per unit, Invoice #5555 </v>
      </c>
    </row>
    <row r="5" spans="1:27">
      <c r="A5" s="290">
        <v>41427</v>
      </c>
      <c r="B5" s="336" t="s">
        <v>313</v>
      </c>
      <c r="C5" s="336" t="s">
        <v>316</v>
      </c>
      <c r="G5" s="337">
        <v>1200</v>
      </c>
      <c r="H5" s="338" t="s">
        <v>314</v>
      </c>
      <c r="I5" s="339">
        <v>0.02</v>
      </c>
      <c r="J5" s="337">
        <v>1200</v>
      </c>
      <c r="M5" s="337"/>
      <c r="R5" s="336" t="s">
        <v>389</v>
      </c>
      <c r="S5" s="336">
        <f>Table1[[#This Row],[Total $]]</f>
        <v>1200</v>
      </c>
      <c r="AA5" s="336" t="str">
        <f>CONCATENATE(Table1[[#This Row],[Concatenate1]],"",Table1[[#This Row],[Concatenate2]]," ",Table1[[#This Row],[Concatenate3]]," ",Table1[[#This Row],[Concatenate4]]," ",Table1[[#This Row],[Concatenate5]]," ",Table1[[#This Row],[Concatenate6]])</f>
        <v xml:space="preserve">Purchased office supplies from Office Max on credit for $1200    </v>
      </c>
    </row>
    <row r="6" spans="1:27">
      <c r="A6" s="290">
        <v>41427</v>
      </c>
      <c r="B6" s="336" t="s">
        <v>315</v>
      </c>
      <c r="C6" s="336" t="s">
        <v>41</v>
      </c>
      <c r="E6" s="336">
        <v>3500</v>
      </c>
      <c r="F6" s="337">
        <v>53</v>
      </c>
      <c r="G6" s="337">
        <f>E6*F6</f>
        <v>185500</v>
      </c>
      <c r="H6" s="338" t="s">
        <v>314</v>
      </c>
      <c r="I6" s="339">
        <v>0.02</v>
      </c>
      <c r="J6" s="337">
        <f>Table1[[#This Row],[Total $]]</f>
        <v>185500</v>
      </c>
      <c r="M6" s="337"/>
      <c r="R6" s="336" t="s">
        <v>386</v>
      </c>
      <c r="S6" s="336">
        <f>Table1[[#This Row],[Units]]</f>
        <v>3500</v>
      </c>
      <c r="T6" s="336" t="s">
        <v>391</v>
      </c>
      <c r="U6" s="336">
        <f>Table1[[#This Row],[$ per Unit]]</f>
        <v>53</v>
      </c>
      <c r="V6" s="336" t="s">
        <v>473</v>
      </c>
      <c r="AA6" s="336" t="str">
        <f>CONCATENATE(Table1[[#This Row],[Concatenate1]]," ",Table1[[#This Row],[Concatenate2]]," ",Table1[[#This Row],[Concatenate3]]," $",Table1[[#This Row],[Concatenate4]]," ",Table1[[#This Row],[Concatenate5]]," ",Table1[[#This Row],[Concatenate6]])</f>
        <v xml:space="preserve">Sold 3500 GPS units on account to Kia for $53 per unit, Invoice #5556. </v>
      </c>
    </row>
    <row r="7" spans="1:27">
      <c r="A7" s="290">
        <v>41427</v>
      </c>
      <c r="B7" s="336" t="s">
        <v>315</v>
      </c>
      <c r="C7" s="336" t="s">
        <v>41</v>
      </c>
      <c r="E7" s="336">
        <v>900</v>
      </c>
      <c r="F7" s="337">
        <v>64</v>
      </c>
      <c r="G7" s="337">
        <f>E7*F7</f>
        <v>57600</v>
      </c>
      <c r="H7" s="338" t="s">
        <v>314</v>
      </c>
      <c r="I7" s="339">
        <v>0.02</v>
      </c>
      <c r="M7" s="337"/>
      <c r="R7" s="336" t="s">
        <v>386</v>
      </c>
      <c r="S7" s="336">
        <f>Table1[[#This Row],[Units]]</f>
        <v>900</v>
      </c>
      <c r="T7" s="336" t="s">
        <v>392</v>
      </c>
      <c r="U7" s="336">
        <f>Table1[[#This Row],[$ per Unit]]</f>
        <v>64</v>
      </c>
      <c r="V7" s="336" t="s">
        <v>393</v>
      </c>
      <c r="W7" s="336">
        <f>E8</f>
        <v>1950</v>
      </c>
      <c r="X7" s="336" t="s">
        <v>394</v>
      </c>
      <c r="Y7" s="340">
        <f>F8</f>
        <v>83</v>
      </c>
      <c r="Z7" s="336" t="s">
        <v>407</v>
      </c>
      <c r="AA7" s="336" t="str">
        <f>CONCATENATE(Table1[[#This Row],[Concatenate1]]," ",Table1[[#This Row],[Concatenate2]]," ",Table1[[#This Row],[Concatenate3]]," $",Table1[[#This Row],[Concatenate4]]," ",Table1[[#This Row],[Concatenate5]]," ",Table1[[#This Row],[Concatenate6]]," ",Table1[[#This Row],[Concatenate7]]," $",Table1[[#This Row],[Concatenate8]]," ",Table1[[#This Row],[Concatenate9]])</f>
        <v>Sold 900 docking stations for $64 per unit and 1950  GPS units for $83 per unit on account to Nissan, Invoice #5557.</v>
      </c>
    </row>
    <row r="8" spans="1:27">
      <c r="A8" s="290">
        <v>41427</v>
      </c>
      <c r="B8" s="336" t="s">
        <v>315</v>
      </c>
      <c r="C8" s="336" t="s">
        <v>41</v>
      </c>
      <c r="E8" s="336">
        <v>1950</v>
      </c>
      <c r="F8" s="337">
        <v>83</v>
      </c>
      <c r="G8" s="337">
        <f>E8*F8</f>
        <v>161850</v>
      </c>
      <c r="H8" s="338" t="s">
        <v>314</v>
      </c>
      <c r="I8" s="339">
        <v>0.02</v>
      </c>
      <c r="M8" s="337"/>
    </row>
    <row r="9" spans="1:27">
      <c r="A9" s="290">
        <v>41429</v>
      </c>
      <c r="B9" s="336" t="s">
        <v>317</v>
      </c>
      <c r="C9" s="336" t="s">
        <v>137</v>
      </c>
      <c r="G9" s="337">
        <v>185000</v>
      </c>
      <c r="H9" s="338" t="s">
        <v>318</v>
      </c>
      <c r="I9" s="339">
        <v>0.02</v>
      </c>
      <c r="J9" s="337">
        <v>0</v>
      </c>
      <c r="K9" s="337">
        <v>0</v>
      </c>
      <c r="L9" s="337">
        <v>0</v>
      </c>
      <c r="M9" s="337"/>
      <c r="R9" s="336" t="s">
        <v>295</v>
      </c>
      <c r="AA9"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Received payment from Toyota for May 11th sale.        </v>
      </c>
    </row>
    <row r="10" spans="1:27">
      <c r="A10" s="290">
        <v>41432</v>
      </c>
      <c r="B10" s="336" t="s">
        <v>320</v>
      </c>
      <c r="C10" s="336" t="s">
        <v>61</v>
      </c>
      <c r="D10" s="336" t="s">
        <v>156</v>
      </c>
      <c r="G10" s="337">
        <v>925</v>
      </c>
      <c r="H10" s="338" t="s">
        <v>318</v>
      </c>
      <c r="J10" s="337">
        <v>0</v>
      </c>
      <c r="K10" s="337">
        <v>0</v>
      </c>
      <c r="L10" s="337">
        <v>0</v>
      </c>
      <c r="M10" s="337"/>
      <c r="R10" s="336" t="s">
        <v>395</v>
      </c>
      <c r="S10" s="336">
        <f>Table1[[#This Row],[Total $]]</f>
        <v>925</v>
      </c>
      <c r="T10" s="336" t="s">
        <v>396</v>
      </c>
      <c r="AA10"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Received and paid expense reports for travel and entertainment totaling  $925 , Check #5279.      </v>
      </c>
    </row>
    <row r="11" spans="1:27">
      <c r="A11" s="290">
        <v>41433</v>
      </c>
      <c r="B11" s="336" t="s">
        <v>320</v>
      </c>
      <c r="C11" s="336" t="s">
        <v>61</v>
      </c>
      <c r="G11" s="337">
        <v>1200</v>
      </c>
      <c r="H11" s="338" t="s">
        <v>314</v>
      </c>
      <c r="I11" s="339">
        <v>0.02</v>
      </c>
      <c r="J11" s="337">
        <f>G11</f>
        <v>1200</v>
      </c>
      <c r="K11" s="337">
        <f>J11*I11</f>
        <v>24</v>
      </c>
      <c r="L11" s="337">
        <f>J11-K11</f>
        <v>1176</v>
      </c>
      <c r="M11" s="337"/>
      <c r="R11" s="336" t="s">
        <v>281</v>
      </c>
      <c r="AA11"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Paid for office supplies purchased on June 2nd, Check #5280.        </v>
      </c>
    </row>
    <row r="12" spans="1:27">
      <c r="A12" s="290">
        <v>41436</v>
      </c>
      <c r="B12" s="336" t="s">
        <v>319</v>
      </c>
      <c r="C12" s="336" t="s">
        <v>61</v>
      </c>
      <c r="G12" s="337">
        <f>L12</f>
        <v>105840</v>
      </c>
      <c r="H12" s="338" t="s">
        <v>314</v>
      </c>
      <c r="I12" s="339">
        <v>0.02</v>
      </c>
      <c r="J12" s="337">
        <f>G3</f>
        <v>108000</v>
      </c>
      <c r="K12" s="337">
        <f>J12*I3</f>
        <v>2160</v>
      </c>
      <c r="L12" s="337">
        <f>J12-K12</f>
        <v>105840</v>
      </c>
      <c r="M12" s="337"/>
      <c r="R12" s="336" t="s">
        <v>269</v>
      </c>
      <c r="AA12"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Paid in full for the June 1 purchase from Navistar, Check #5281.        </v>
      </c>
    </row>
    <row r="13" spans="1:27">
      <c r="A13" s="290">
        <v>41436</v>
      </c>
      <c r="B13" s="336" t="s">
        <v>319</v>
      </c>
      <c r="C13" s="336" t="s">
        <v>61</v>
      </c>
      <c r="D13" s="336" t="s">
        <v>155</v>
      </c>
      <c r="G13" s="337">
        <v>5400</v>
      </c>
      <c r="H13" s="338" t="s">
        <v>324</v>
      </c>
      <c r="J13" s="337">
        <v>0</v>
      </c>
      <c r="K13" s="337">
        <v>0</v>
      </c>
      <c r="L13" s="337">
        <v>0</v>
      </c>
      <c r="M13" s="337"/>
      <c r="R13" s="336" t="s">
        <v>397</v>
      </c>
      <c r="S13" s="336">
        <f>Table1[[#This Row],[Total $]]</f>
        <v>5400</v>
      </c>
      <c r="T13" s="336" t="s">
        <v>398</v>
      </c>
      <c r="AA13"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Received a bill from the law firm of Larry, Moe &amp; Curly for  $5400 , payable upon receipt, for bond consulting fees, Check #5282.      </v>
      </c>
    </row>
    <row r="14" spans="1:27">
      <c r="A14" s="290">
        <v>41438</v>
      </c>
      <c r="B14" s="336" t="s">
        <v>313</v>
      </c>
      <c r="C14" s="336" t="s">
        <v>48</v>
      </c>
      <c r="E14" s="336">
        <v>3250</v>
      </c>
      <c r="F14" s="337">
        <v>48</v>
      </c>
      <c r="G14" s="337">
        <f>E14*F14</f>
        <v>156000</v>
      </c>
      <c r="H14" s="338" t="s">
        <v>314</v>
      </c>
      <c r="I14" s="339">
        <v>0.02</v>
      </c>
      <c r="J14" s="337">
        <f>G14</f>
        <v>156000</v>
      </c>
      <c r="M14" s="337"/>
      <c r="R14" s="336" t="s">
        <v>399</v>
      </c>
      <c r="S14" s="336">
        <f>Table1[[#This Row],[Units]]</f>
        <v>3250</v>
      </c>
      <c r="T14" s="336" t="s">
        <v>400</v>
      </c>
      <c r="U14" s="336">
        <f>Table1[[#This Row],[$ per Unit]]</f>
        <v>48</v>
      </c>
      <c r="V14" s="336" t="s">
        <v>383</v>
      </c>
      <c r="AA14"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Took advantage of a special deal to purchase  3250 DVD players on account from JVC for  $48 per unit.    </v>
      </c>
    </row>
    <row r="15" spans="1:27">
      <c r="A15" s="290">
        <v>41438</v>
      </c>
      <c r="B15" s="336" t="s">
        <v>313</v>
      </c>
      <c r="C15" s="336" t="s">
        <v>48</v>
      </c>
      <c r="E15" s="336">
        <v>850</v>
      </c>
      <c r="F15" s="337">
        <v>33</v>
      </c>
      <c r="G15" s="337">
        <f>E15*F15</f>
        <v>28050</v>
      </c>
      <c r="H15" s="338" t="s">
        <v>314</v>
      </c>
      <c r="I15" s="339">
        <v>0.02</v>
      </c>
      <c r="J15" s="337">
        <f>G15</f>
        <v>28050</v>
      </c>
      <c r="M15" s="337"/>
      <c r="R15" s="336" t="s">
        <v>385</v>
      </c>
      <c r="S15" s="336">
        <f>Table1[[#This Row],[Units]]</f>
        <v>850</v>
      </c>
      <c r="T15" s="336" t="s">
        <v>401</v>
      </c>
      <c r="U15" s="336">
        <f>Table1[[#This Row],[$ per Unit]]</f>
        <v>33</v>
      </c>
      <c r="V15" s="336" t="s">
        <v>383</v>
      </c>
      <c r="AA15"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Purchased 850 GPS units on credit from Magellan for $33 per unit.    </v>
      </c>
    </row>
    <row r="16" spans="1:27">
      <c r="A16" s="290">
        <v>41440</v>
      </c>
      <c r="B16" s="336" t="s">
        <v>321</v>
      </c>
      <c r="C16" s="336" t="s">
        <v>61</v>
      </c>
      <c r="G16" s="337">
        <v>14500</v>
      </c>
      <c r="H16" s="338" t="s">
        <v>324</v>
      </c>
      <c r="J16" s="337">
        <v>0</v>
      </c>
      <c r="K16" s="337">
        <v>0</v>
      </c>
      <c r="L16" s="337">
        <v>0</v>
      </c>
      <c r="M16" s="337"/>
      <c r="R16" s="336" t="s">
        <v>402</v>
      </c>
      <c r="S16" s="336">
        <f>Table1[[#This Row],[Total $]]</f>
        <v>14500</v>
      </c>
      <c r="T16" s="336" t="s">
        <v>403</v>
      </c>
      <c r="U16" s="340">
        <f>G17</f>
        <v>4750</v>
      </c>
      <c r="V16" s="336" t="s">
        <v>475</v>
      </c>
      <c r="AA16"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Check # 5284 was issued for payroll:  $14500 for salaried and $4750 for hourly employees    </v>
      </c>
    </row>
    <row r="17" spans="1:27">
      <c r="A17" s="290">
        <v>41440</v>
      </c>
      <c r="B17" s="336" t="s">
        <v>322</v>
      </c>
      <c r="C17" s="336" t="s">
        <v>61</v>
      </c>
      <c r="G17" s="337">
        <v>4750</v>
      </c>
      <c r="H17" s="338" t="s">
        <v>324</v>
      </c>
      <c r="J17" s="337">
        <v>0</v>
      </c>
      <c r="K17" s="337">
        <v>0</v>
      </c>
      <c r="L17" s="337">
        <v>0</v>
      </c>
      <c r="M17" s="337"/>
      <c r="AA17" s="336" t="str">
        <f>CONCATENATE(Table1[[#This Row],[Concatenate1]]," ",Table1[[#This Row],[Concatenate2]]," ",Table1[[#This Row],[Concatenate3]]," ",Table1[[#This Row],[Concatenate4]]," ",Table1[[#This Row],[Concatenate5]]," ",Table1[[#This Row],[Concatenate6]]," ",Table1[[#This Row],[Concatenate7]]," ",Table1[[#This Row],[Concatenate8]]," ",Table1[[#This Row],[Concatenate9]])</f>
        <v/>
      </c>
    </row>
    <row r="18" spans="1:27">
      <c r="A18" s="290">
        <v>41440</v>
      </c>
      <c r="B18" s="336" t="s">
        <v>22</v>
      </c>
      <c r="C18" s="336" t="s">
        <v>41</v>
      </c>
      <c r="E18" s="336">
        <v>2000</v>
      </c>
      <c r="F18" s="337">
        <v>89</v>
      </c>
      <c r="G18" s="337">
        <f>E18*F18</f>
        <v>178000</v>
      </c>
      <c r="H18" s="338" t="s">
        <v>314</v>
      </c>
      <c r="I18" s="339">
        <v>0.02</v>
      </c>
      <c r="J18" s="337">
        <f>Table1[[#This Row],[Total $]]</f>
        <v>178000</v>
      </c>
      <c r="M18" s="337"/>
      <c r="R18" s="336" t="s">
        <v>386</v>
      </c>
      <c r="S18" s="336">
        <f>Table1[[#This Row],[Units]]</f>
        <v>2000</v>
      </c>
      <c r="T18" s="336" t="s">
        <v>474</v>
      </c>
      <c r="U18" s="336">
        <f>Table1[[#This Row],[$ per Unit]]</f>
        <v>89</v>
      </c>
      <c r="V18" s="336" t="s">
        <v>408</v>
      </c>
      <c r="AA18"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Sold 2000 DVD players on credit to Ford Motor Co. for  $89 per unit, Invoice 5558.     </v>
      </c>
    </row>
    <row r="19" spans="1:27">
      <c r="A19" s="290">
        <v>41441</v>
      </c>
      <c r="B19" s="336" t="s">
        <v>313</v>
      </c>
      <c r="C19" s="336" t="s">
        <v>48</v>
      </c>
      <c r="E19" s="336">
        <v>1800</v>
      </c>
      <c r="F19" s="337">
        <v>42</v>
      </c>
      <c r="G19" s="337">
        <f>Table1[[#This Row],[Units]]*Table1[[#This Row],[$ per Unit]]</f>
        <v>75600</v>
      </c>
      <c r="H19" s="338" t="s">
        <v>314</v>
      </c>
      <c r="I19" s="339">
        <v>0.02</v>
      </c>
      <c r="J19" s="337">
        <f>Table1[[#This Row],[Total $]]</f>
        <v>75600</v>
      </c>
      <c r="M19" s="337"/>
      <c r="R19" s="336" t="s">
        <v>382</v>
      </c>
      <c r="S19" s="336">
        <f>Table1[[#This Row],[Units]]</f>
        <v>1800</v>
      </c>
      <c r="T19" s="336" t="s">
        <v>404</v>
      </c>
      <c r="U19" s="336">
        <f>Table1[[#This Row],[$ per Unit]]</f>
        <v>42</v>
      </c>
      <c r="V19" s="336" t="s">
        <v>383</v>
      </c>
      <c r="AA19"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Purchased  1800 docking stations on credit from Samsung for  $42 per unit.    </v>
      </c>
    </row>
    <row r="20" spans="1:27">
      <c r="A20" s="290">
        <v>41443</v>
      </c>
      <c r="B20" s="336" t="s">
        <v>323</v>
      </c>
      <c r="C20" s="336" t="s">
        <v>137</v>
      </c>
      <c r="G20" s="337">
        <f>Table1[[#This Row],[Amt of Balance]]</f>
        <v>148960</v>
      </c>
      <c r="H20" s="338" t="s">
        <v>314</v>
      </c>
      <c r="I20" s="339">
        <v>0.02</v>
      </c>
      <c r="J20" s="337">
        <f>G4</f>
        <v>152000</v>
      </c>
      <c r="K20" s="337">
        <f>G4*I4</f>
        <v>3040</v>
      </c>
      <c r="L20" s="337">
        <f>Table1[[#This Row],[Balance Owing]]-Table1[[#This Row],[Amt of Discount]]</f>
        <v>148960</v>
      </c>
      <c r="M20" s="337"/>
      <c r="R20" s="336" t="s">
        <v>267</v>
      </c>
      <c r="AA20"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Received  payment in full from Toyota for the June 1st sale.        </v>
      </c>
    </row>
    <row r="21" spans="1:27">
      <c r="A21" s="290">
        <v>41447</v>
      </c>
      <c r="B21" s="336" t="s">
        <v>315</v>
      </c>
      <c r="C21" s="336" t="s">
        <v>41</v>
      </c>
      <c r="E21" s="336">
        <v>1650</v>
      </c>
      <c r="F21" s="337">
        <v>64.5</v>
      </c>
      <c r="G21" s="337">
        <f>Table1[[#This Row],[Units]]*Table1[[#This Row],[$ per Unit]]</f>
        <v>106425</v>
      </c>
      <c r="H21" s="338" t="s">
        <v>314</v>
      </c>
      <c r="I21" s="339">
        <v>0.02</v>
      </c>
      <c r="J21" s="337">
        <f>Table1[[#This Row],[Total $]]</f>
        <v>106425</v>
      </c>
      <c r="M21" s="337"/>
      <c r="R21" s="336" t="s">
        <v>390</v>
      </c>
      <c r="S21" s="336">
        <f>Table1[[#This Row],[Units]]</f>
        <v>1650</v>
      </c>
      <c r="T21" s="336" t="s">
        <v>405</v>
      </c>
      <c r="U21" s="336">
        <f>Table1[[#This Row],[$ per Unit]]</f>
        <v>64.5</v>
      </c>
      <c r="V21" s="336" t="s">
        <v>406</v>
      </c>
      <c r="AA21"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Sold  1650 docking stations on credit to Kia for 64.5 per unit, Invoice #5559.    </v>
      </c>
    </row>
    <row r="22" spans="1:27">
      <c r="A22" s="290">
        <v>41448</v>
      </c>
      <c r="B22" s="336" t="s">
        <v>319</v>
      </c>
      <c r="C22" s="336" t="s">
        <v>61</v>
      </c>
      <c r="G22" s="337">
        <v>75000</v>
      </c>
      <c r="H22" s="338" t="s">
        <v>324</v>
      </c>
      <c r="J22" s="337">
        <v>162500</v>
      </c>
      <c r="K22" s="337">
        <v>0</v>
      </c>
      <c r="L22" s="337">
        <f>Table1[[#This Row],[Balance Owing]]-Table1[[#This Row],[Total $]]</f>
        <v>87500</v>
      </c>
      <c r="M22" s="337"/>
      <c r="R22" s="336" t="s">
        <v>409</v>
      </c>
      <c r="S22" s="336">
        <f>Table1[[#This Row],[Total $]]</f>
        <v>75000</v>
      </c>
      <c r="T22" s="336" t="s">
        <v>410</v>
      </c>
      <c r="U22" s="336">
        <f>Table1[[#This Row],[Balance Owing]]</f>
        <v>162500</v>
      </c>
      <c r="V22" s="336" t="s">
        <v>411</v>
      </c>
      <c r="AA22"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Paid $75000 of the $162500 owed to JVC from May 25, Check #5285.    </v>
      </c>
    </row>
    <row r="23" spans="1:27">
      <c r="A23" s="290">
        <v>41448</v>
      </c>
      <c r="B23" s="336" t="s">
        <v>317</v>
      </c>
      <c r="C23" s="336" t="s">
        <v>137</v>
      </c>
      <c r="G23" s="337">
        <v>175000</v>
      </c>
      <c r="H23" s="338" t="s">
        <v>324</v>
      </c>
      <c r="J23" s="337">
        <v>300000</v>
      </c>
      <c r="K23" s="337">
        <v>0</v>
      </c>
      <c r="L23" s="337">
        <f>Table1[[#This Row],[Balance Owing]]-Table1[[#This Row],[Total $]]</f>
        <v>125000</v>
      </c>
      <c r="M23" s="337"/>
      <c r="R23" s="336" t="s">
        <v>412</v>
      </c>
      <c r="S23" s="336">
        <f>Table1[[#This Row],[Total $]]</f>
        <v>175000</v>
      </c>
      <c r="T23" s="336" t="s">
        <v>410</v>
      </c>
      <c r="U23" s="336">
        <f>Table1[[#This Row],[Balance Owing]]</f>
        <v>300000</v>
      </c>
      <c r="V23" s="336" t="s">
        <v>413</v>
      </c>
      <c r="AA23"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Received payment from Ford Motor Co. for $175000 of the $300000 owed from May 5.    </v>
      </c>
    </row>
    <row r="24" spans="1:27">
      <c r="A24" s="290">
        <v>41449</v>
      </c>
      <c r="B24" s="336" t="s">
        <v>319</v>
      </c>
      <c r="C24" s="336" t="s">
        <v>61</v>
      </c>
      <c r="D24" s="336" t="s">
        <v>158</v>
      </c>
      <c r="G24" s="337">
        <v>100</v>
      </c>
      <c r="H24" s="338" t="s">
        <v>324</v>
      </c>
      <c r="J24" s="337">
        <v>0</v>
      </c>
      <c r="K24" s="337">
        <v>0</v>
      </c>
      <c r="M24" s="337"/>
      <c r="R24" s="336" t="s">
        <v>414</v>
      </c>
      <c r="S24" s="336">
        <f>Table1[[#This Row],[Total $]]</f>
        <v>100</v>
      </c>
      <c r="T24" s="336" t="s">
        <v>425</v>
      </c>
      <c r="AA24"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Purchased a $100 international phone card for one of the sales representative's upcoming European business trip, Check #5286.      </v>
      </c>
    </row>
    <row r="25" spans="1:27">
      <c r="A25" s="290">
        <v>41450</v>
      </c>
      <c r="B25" s="336" t="s">
        <v>319</v>
      </c>
      <c r="C25" s="336" t="s">
        <v>61</v>
      </c>
      <c r="G25" s="337">
        <f>Table1[[#This Row],[Amt of Balance]]</f>
        <v>152880</v>
      </c>
      <c r="H25" s="338" t="s">
        <v>314</v>
      </c>
      <c r="J25" s="337">
        <f>J14</f>
        <v>156000</v>
      </c>
      <c r="K25" s="337">
        <f>Table1[[#This Row],[Balance Owing]]*0.02</f>
        <v>3120</v>
      </c>
      <c r="L25" s="337">
        <f>Table1[[#This Row],[Balance Owing]]-Table1[[#This Row],[Amt of Discount]]</f>
        <v>152880</v>
      </c>
      <c r="M25" s="337"/>
      <c r="R25" s="336" t="s">
        <v>270</v>
      </c>
      <c r="AA25"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Paid in full for the purchase from JVC on June 13, Check #5287        </v>
      </c>
    </row>
    <row r="26" spans="1:27">
      <c r="A26" s="290">
        <v>41451</v>
      </c>
      <c r="B26" s="336" t="s">
        <v>319</v>
      </c>
      <c r="C26" s="336" t="s">
        <v>61</v>
      </c>
      <c r="D26" s="336" t="s">
        <v>4</v>
      </c>
      <c r="E26" s="336">
        <v>1250</v>
      </c>
      <c r="F26" s="337">
        <v>41</v>
      </c>
      <c r="G26" s="337">
        <f>Table1[[#This Row],[Units]]*Table1[[#This Row],[$ per Unit]]</f>
        <v>51250</v>
      </c>
      <c r="H26" s="338" t="s">
        <v>314</v>
      </c>
      <c r="I26" s="339">
        <v>0.02</v>
      </c>
      <c r="J26" s="337">
        <f>Table1[[#This Row],[Total $]]</f>
        <v>51250</v>
      </c>
      <c r="M26" s="337"/>
      <c r="R26" s="336" t="s">
        <v>385</v>
      </c>
      <c r="S26" s="336">
        <f>Table1[[#This Row],[Units]]</f>
        <v>1250</v>
      </c>
      <c r="T26" s="336" t="s">
        <v>415</v>
      </c>
      <c r="U26" s="336">
        <f>Table1[[#This Row],[$ per Unit]]</f>
        <v>41</v>
      </c>
      <c r="V26" s="336" t="s">
        <v>416</v>
      </c>
      <c r="AA26"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Purchased 1250 docking station from Samsung for $41 per unit paying in cash, Check #5288    </v>
      </c>
    </row>
    <row r="27" spans="1:27">
      <c r="A27" s="290">
        <v>41452</v>
      </c>
      <c r="B27" s="336" t="s">
        <v>315</v>
      </c>
      <c r="C27" s="336" t="s">
        <v>41</v>
      </c>
      <c r="E27" s="336">
        <v>1500</v>
      </c>
      <c r="F27" s="337">
        <v>61</v>
      </c>
      <c r="G27" s="337">
        <f>Table1[[#This Row],[Units]]*Table1[[#This Row],[$ per Unit]]</f>
        <v>91500</v>
      </c>
      <c r="H27" s="338" t="s">
        <v>314</v>
      </c>
      <c r="I27" s="339">
        <v>0.02</v>
      </c>
      <c r="J27" s="337">
        <f>Table1[[#This Row],[Total $]]</f>
        <v>91500</v>
      </c>
      <c r="M27" s="337"/>
      <c r="R27" s="336" t="s">
        <v>386</v>
      </c>
      <c r="S27" s="336">
        <f>Table1[[#This Row],[Units]]</f>
        <v>1500</v>
      </c>
      <c r="T27" s="336" t="s">
        <v>417</v>
      </c>
      <c r="U27" s="336">
        <f>Table1[[#This Row],[$ per Unit]]</f>
        <v>61</v>
      </c>
      <c r="V27" s="336" t="s">
        <v>418</v>
      </c>
      <c r="AA27"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Sold 1500 docking stations on credit to Honda for $61 per unit, Invoice 5560.    </v>
      </c>
    </row>
    <row r="28" spans="1:27">
      <c r="A28" s="290">
        <v>41452</v>
      </c>
      <c r="B28" s="336" t="s">
        <v>319</v>
      </c>
      <c r="C28" s="336" t="s">
        <v>61</v>
      </c>
      <c r="D28" s="336" t="s">
        <v>116</v>
      </c>
      <c r="G28" s="337">
        <v>75000</v>
      </c>
      <c r="J28" s="337">
        <v>0</v>
      </c>
      <c r="M28" s="337"/>
      <c r="R28" s="336" t="s">
        <v>419</v>
      </c>
      <c r="S28" s="336">
        <f>Table1[[#This Row],[Total $]]</f>
        <v>75000</v>
      </c>
      <c r="T28" s="336" t="s">
        <v>420</v>
      </c>
      <c r="AA28"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Hired and paid a consultant $75000 to devise a marketing plan. AC Speed's management felt this was necessary to develop brand awareness. Check #5289.      </v>
      </c>
    </row>
    <row r="29" spans="1:27">
      <c r="A29" s="290">
        <v>41453</v>
      </c>
      <c r="B29" s="336" t="s">
        <v>319</v>
      </c>
      <c r="C29" s="336" t="s">
        <v>61</v>
      </c>
      <c r="M29" s="337"/>
      <c r="P29" s="337">
        <v>8000</v>
      </c>
      <c r="Q29" s="337">
        <v>10000</v>
      </c>
      <c r="R29" s="336" t="s">
        <v>421</v>
      </c>
      <c r="S29" s="336">
        <f>Table1[[#This Row],[Balance Paid]]</f>
        <v>10000</v>
      </c>
      <c r="T29" s="336" t="s">
        <v>422</v>
      </c>
      <c r="U29" s="336">
        <f>Table1[[#This Row],[Balance Paid]]-Table1[[#This Row],[Interest Paid]]</f>
        <v>2000</v>
      </c>
      <c r="V29" s="336" t="s">
        <v>423</v>
      </c>
      <c r="W29" s="336">
        <f>Table1[[#This Row],[Interest Paid]]</f>
        <v>8000</v>
      </c>
      <c r="X29" s="336" t="s">
        <v>424</v>
      </c>
      <c r="AA29"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AC Speed is behind in its mortgage payments to Bank of America. Paid a total of $10000 ( $2000 principal and $8000 interest), Check #5290.   </v>
      </c>
    </row>
    <row r="30" spans="1:27">
      <c r="A30" s="290">
        <v>41454</v>
      </c>
      <c r="B30" s="336" t="s">
        <v>317</v>
      </c>
      <c r="C30" s="336" t="s">
        <v>137</v>
      </c>
      <c r="G30" s="337">
        <f>Table1[[#This Row],[Amt of Balance]]</f>
        <v>89670</v>
      </c>
      <c r="H30" s="338" t="s">
        <v>314</v>
      </c>
      <c r="I30" s="339">
        <v>0.02</v>
      </c>
      <c r="J30" s="337">
        <f>G27</f>
        <v>91500</v>
      </c>
      <c r="K30" s="337">
        <f>Table1[[#This Row],[Balance Owing]]*Table1[[#This Row],[Discount %]]</f>
        <v>1830</v>
      </c>
      <c r="L30" s="337">
        <f>Table1[[#This Row],[Balance Owing]]-Table1[[#This Row],[Amt of Discount]]</f>
        <v>89670</v>
      </c>
      <c r="M30" s="337"/>
      <c r="R30" s="336" t="s">
        <v>297</v>
      </c>
      <c r="AA30"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Received payment in full from Honda for the June 27th transaction.        </v>
      </c>
    </row>
    <row r="31" spans="1:27">
      <c r="A31" s="290">
        <v>41454</v>
      </c>
      <c r="B31" s="336" t="s">
        <v>319</v>
      </c>
      <c r="C31" s="336" t="s">
        <v>61</v>
      </c>
      <c r="G31" s="337">
        <v>30000</v>
      </c>
      <c r="H31" s="338" t="s">
        <v>318</v>
      </c>
      <c r="J31" s="337">
        <v>30000</v>
      </c>
      <c r="K31" s="337">
        <v>0</v>
      </c>
      <c r="L31" s="337">
        <f>Table1[[#This Row],[Balance Owing]]-Table1[[#This Row],[Total $]]</f>
        <v>0</v>
      </c>
      <c r="M31" s="337"/>
      <c r="R31" s="336" t="s">
        <v>271</v>
      </c>
      <c r="AA31"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Paid in full for the purchase from Magellan on May 31st, Check #5291.        </v>
      </c>
    </row>
    <row r="32" spans="1:27">
      <c r="A32" s="290">
        <v>41454</v>
      </c>
      <c r="B32" s="336" t="s">
        <v>321</v>
      </c>
      <c r="C32" s="336" t="s">
        <v>61</v>
      </c>
      <c r="G32" s="337">
        <v>14500</v>
      </c>
      <c r="H32" s="338" t="s">
        <v>324</v>
      </c>
      <c r="J32" s="337">
        <v>0</v>
      </c>
      <c r="K32" s="337">
        <v>0</v>
      </c>
      <c r="L32" s="337">
        <v>0</v>
      </c>
      <c r="M32" s="337"/>
      <c r="R32" s="336" t="s">
        <v>476</v>
      </c>
      <c r="S32" s="336">
        <f>Table1[[#This Row],[Total $]]</f>
        <v>14500</v>
      </c>
      <c r="T32" s="336" t="s">
        <v>403</v>
      </c>
      <c r="U32" s="340">
        <f>G33</f>
        <v>4750</v>
      </c>
      <c r="V32" s="336" t="s">
        <v>475</v>
      </c>
      <c r="AA32" s="336" t="str">
        <f>CONCATENATE(Table1[[#This Row],[Concatenate1]]," $",Table1[[#This Row],[Concatenate2]]," ",Table1[[#This Row],[Concatenate3]]," $",Table1[[#This Row],[Concatenate4]]," ",Table1[[#This Row],[Concatenate5]]," ",Table1[[#This Row],[Concatenate6]]," ",Table1[[#This Row],[Concatenate7]]," ",Table1[[#This Row],[Concatenate8]]," ",Table1[[#This Row],[Concatenate9]])</f>
        <v xml:space="preserve">Check # 5292 was issued for payroll:  $14500 for salaried and $4750 for hourly employees    </v>
      </c>
    </row>
    <row r="33" spans="1:27">
      <c r="A33" s="290">
        <v>41454</v>
      </c>
      <c r="B33" s="336" t="s">
        <v>322</v>
      </c>
      <c r="C33" s="336" t="s">
        <v>61</v>
      </c>
      <c r="G33" s="337">
        <v>4750</v>
      </c>
      <c r="H33" s="338" t="s">
        <v>324</v>
      </c>
      <c r="J33" s="337">
        <v>0</v>
      </c>
      <c r="K33" s="337">
        <v>0</v>
      </c>
      <c r="L33" s="337">
        <v>0</v>
      </c>
      <c r="M33" s="337"/>
      <c r="AA33" s="336" t="str">
        <f>CONCATENATE(Table1[[#This Row],[Concatenate1]]," ",Table1[[#This Row],[Concatenate2]]," ",Table1[[#This Row],[Concatenate3]]," ",Table1[[#This Row],[Concatenate4]]," ",Table1[[#This Row],[Concatenate5]]," ",Table1[[#This Row],[Concatenate6]]," ",Table1[[#This Row],[Concatenate7]]," ",Table1[[#This Row],[Concatenate8]]," ",Table1[[#This Row],[Concatenate9]])</f>
        <v/>
      </c>
    </row>
    <row r="34" spans="1:27">
      <c r="A34" s="290"/>
      <c r="M34" s="337"/>
    </row>
    <row r="35" spans="1:27">
      <c r="A35" s="290"/>
      <c r="M35" s="337"/>
    </row>
    <row r="36" spans="1:27" ht="14.25" customHeight="1">
      <c r="A36" s="341"/>
      <c r="B36" s="341"/>
      <c r="C36" s="341"/>
      <c r="D36" s="341"/>
      <c r="M36" s="337"/>
    </row>
    <row r="37" spans="1:27">
      <c r="A37" s="351" t="s">
        <v>436</v>
      </c>
      <c r="B37" s="351"/>
      <c r="C37" s="351"/>
      <c r="D37" s="342" t="s">
        <v>437</v>
      </c>
      <c r="G37" s="352" t="s">
        <v>436</v>
      </c>
      <c r="H37" s="352"/>
      <c r="I37" s="352"/>
      <c r="J37" s="352"/>
      <c r="K37" s="343">
        <v>41274</v>
      </c>
      <c r="L37" s="343">
        <v>40908</v>
      </c>
      <c r="M37" s="343">
        <v>40543</v>
      </c>
      <c r="N37" s="343">
        <v>40178</v>
      </c>
    </row>
    <row r="38" spans="1:27">
      <c r="A38" s="349" t="s">
        <v>22</v>
      </c>
      <c r="B38" s="349"/>
      <c r="C38" s="349"/>
      <c r="D38" s="344">
        <v>725000</v>
      </c>
      <c r="G38" s="345" t="s">
        <v>110</v>
      </c>
      <c r="H38" s="337"/>
      <c r="I38" s="337"/>
      <c r="K38" s="344">
        <v>65000</v>
      </c>
      <c r="L38" s="344"/>
      <c r="M38" s="344"/>
      <c r="N38" s="344"/>
    </row>
    <row r="39" spans="1:27">
      <c r="A39" s="349" t="s">
        <v>441</v>
      </c>
      <c r="B39" s="349"/>
      <c r="C39" s="349"/>
      <c r="D39" s="346">
        <v>0.88</v>
      </c>
      <c r="G39" s="337" t="s">
        <v>111</v>
      </c>
      <c r="H39" s="337"/>
      <c r="I39" s="337"/>
      <c r="K39" s="344">
        <v>1545000</v>
      </c>
      <c r="L39" s="344"/>
      <c r="M39" s="344"/>
      <c r="N39" s="344"/>
    </row>
    <row r="40" spans="1:27">
      <c r="A40" s="349" t="s">
        <v>114</v>
      </c>
      <c r="B40" s="349"/>
      <c r="C40" s="349"/>
      <c r="D40" s="344">
        <v>10000</v>
      </c>
      <c r="G40" s="337" t="s">
        <v>442</v>
      </c>
      <c r="H40" s="337"/>
      <c r="I40" s="337"/>
      <c r="K40" s="344">
        <v>1166744</v>
      </c>
      <c r="L40" s="344">
        <v>1065744</v>
      </c>
      <c r="M40" s="344">
        <v>956030</v>
      </c>
      <c r="N40" s="344">
        <v>1238479</v>
      </c>
    </row>
    <row r="41" spans="1:27">
      <c r="A41" s="349" t="s">
        <v>438</v>
      </c>
      <c r="B41" s="349"/>
      <c r="C41" s="349"/>
      <c r="D41" s="344">
        <v>30000</v>
      </c>
      <c r="H41" s="337"/>
      <c r="I41" s="337"/>
      <c r="M41" s="337"/>
    </row>
    <row r="42" spans="1:27">
      <c r="A42" s="349" t="s">
        <v>116</v>
      </c>
      <c r="B42" s="349"/>
      <c r="C42" s="349"/>
      <c r="D42" s="344">
        <v>24000</v>
      </c>
      <c r="H42" s="337"/>
      <c r="I42" s="337"/>
      <c r="M42" s="337"/>
    </row>
    <row r="43" spans="1:27">
      <c r="A43" s="349" t="s">
        <v>117</v>
      </c>
      <c r="B43" s="349"/>
      <c r="C43" s="349"/>
      <c r="D43" s="344">
        <v>2300</v>
      </c>
      <c r="H43" s="337"/>
      <c r="I43" s="337"/>
      <c r="M43" s="337"/>
    </row>
    <row r="44" spans="1:27">
      <c r="A44" s="349" t="s">
        <v>121</v>
      </c>
      <c r="B44" s="349"/>
      <c r="C44" s="349"/>
      <c r="D44" s="344">
        <v>500</v>
      </c>
      <c r="H44" s="337"/>
      <c r="I44" s="337"/>
      <c r="M44" s="337"/>
    </row>
    <row r="45" spans="1:27">
      <c r="A45" s="349" t="s">
        <v>155</v>
      </c>
      <c r="B45" s="349"/>
      <c r="C45" s="349"/>
      <c r="D45" s="344">
        <v>16550</v>
      </c>
      <c r="H45" s="337"/>
      <c r="I45" s="337"/>
      <c r="M45" s="337"/>
    </row>
    <row r="46" spans="1:27">
      <c r="A46" s="349" t="s">
        <v>29</v>
      </c>
      <c r="B46" s="349"/>
      <c r="C46" s="349"/>
      <c r="D46" s="344">
        <v>2000</v>
      </c>
      <c r="H46" s="337"/>
      <c r="I46" s="337"/>
      <c r="M46" s="337"/>
    </row>
    <row r="47" spans="1:27">
      <c r="A47" s="349" t="s">
        <v>30</v>
      </c>
      <c r="B47" s="349"/>
      <c r="C47" s="349"/>
      <c r="D47" s="344">
        <v>1000</v>
      </c>
      <c r="H47" s="337"/>
      <c r="I47" s="337"/>
      <c r="M47" s="337"/>
    </row>
    <row r="48" spans="1:27">
      <c r="A48" s="349" t="s">
        <v>28</v>
      </c>
      <c r="B48" s="349"/>
      <c r="C48" s="349"/>
      <c r="D48" s="344">
        <v>290</v>
      </c>
      <c r="H48" s="337"/>
      <c r="I48" s="337"/>
      <c r="M48" s="337"/>
    </row>
    <row r="49" spans="1:13">
      <c r="A49" s="349" t="s">
        <v>31</v>
      </c>
      <c r="B49" s="349"/>
      <c r="C49" s="349"/>
      <c r="D49" s="344">
        <v>55</v>
      </c>
      <c r="H49" s="337"/>
      <c r="I49" s="337"/>
      <c r="M49" s="337"/>
    </row>
    <row r="50" spans="1:13">
      <c r="A50" s="350" t="s">
        <v>439</v>
      </c>
      <c r="B50" s="350"/>
      <c r="C50" s="350"/>
      <c r="D50" s="344">
        <v>165</v>
      </c>
      <c r="H50" s="337"/>
      <c r="I50" s="337"/>
      <c r="M50" s="337"/>
    </row>
    <row r="51" spans="1:13">
      <c r="A51" s="349" t="s">
        <v>440</v>
      </c>
      <c r="B51" s="349"/>
      <c r="C51" s="349"/>
      <c r="D51" s="344">
        <v>140</v>
      </c>
      <c r="H51" s="337"/>
      <c r="I51" s="337"/>
      <c r="M51" s="337"/>
    </row>
    <row r="52" spans="1:13">
      <c r="A52" s="290"/>
      <c r="M52" s="337"/>
    </row>
    <row r="53" spans="1:13">
      <c r="A53" s="290"/>
      <c r="M53" s="337"/>
    </row>
    <row r="54" spans="1:13">
      <c r="A54" s="290"/>
      <c r="M54" s="337"/>
    </row>
    <row r="55" spans="1:13">
      <c r="A55" s="290"/>
      <c r="M55" s="337"/>
    </row>
    <row r="56" spans="1:13">
      <c r="A56" s="290"/>
      <c r="M56" s="337"/>
    </row>
    <row r="57" spans="1:13">
      <c r="A57" s="290"/>
    </row>
    <row r="58" spans="1:13">
      <c r="A58" s="290"/>
    </row>
    <row r="59" spans="1:13">
      <c r="A59" s="290"/>
    </row>
    <row r="60" spans="1:13">
      <c r="A60" s="290"/>
    </row>
    <row r="61" spans="1:13">
      <c r="A61" s="290"/>
    </row>
    <row r="62" spans="1:13">
      <c r="A62" s="290"/>
    </row>
    <row r="63" spans="1:13">
      <c r="A63" s="290"/>
    </row>
    <row r="64" spans="1:13">
      <c r="A64" s="290"/>
    </row>
    <row r="65" spans="1:1">
      <c r="A65" s="290"/>
    </row>
    <row r="66" spans="1:1">
      <c r="A66" s="290"/>
    </row>
    <row r="67" spans="1:1">
      <c r="A67" s="290"/>
    </row>
    <row r="68" spans="1:1">
      <c r="A68" s="290"/>
    </row>
    <row r="69" spans="1:1">
      <c r="A69" s="290"/>
    </row>
    <row r="70" spans="1:1">
      <c r="A70" s="290"/>
    </row>
    <row r="71" spans="1:1">
      <c r="A71" s="290"/>
    </row>
    <row r="72" spans="1:1">
      <c r="A72" s="290"/>
    </row>
    <row r="73" spans="1:1">
      <c r="A73" s="290"/>
    </row>
    <row r="74" spans="1:1">
      <c r="A74" s="290"/>
    </row>
    <row r="75" spans="1:1">
      <c r="A75" s="290"/>
    </row>
    <row r="76" spans="1:1">
      <c r="A76" s="290"/>
    </row>
    <row r="77" spans="1:1">
      <c r="A77" s="290"/>
    </row>
    <row r="78" spans="1:1">
      <c r="A78" s="290"/>
    </row>
    <row r="79" spans="1:1">
      <c r="A79" s="290"/>
    </row>
    <row r="80" spans="1:1">
      <c r="A80" s="290"/>
    </row>
    <row r="81" spans="1:1">
      <c r="A81" s="290"/>
    </row>
    <row r="82" spans="1:1">
      <c r="A82" s="290"/>
    </row>
    <row r="83" spans="1:1">
      <c r="A83" s="290"/>
    </row>
    <row r="84" spans="1:1">
      <c r="A84" s="290"/>
    </row>
    <row r="85" spans="1:1">
      <c r="A85" s="290"/>
    </row>
    <row r="86" spans="1:1">
      <c r="A86" s="290"/>
    </row>
    <row r="87" spans="1:1">
      <c r="A87" s="290"/>
    </row>
    <row r="88" spans="1:1">
      <c r="A88" s="290"/>
    </row>
    <row r="89" spans="1:1">
      <c r="A89" s="290"/>
    </row>
    <row r="90" spans="1:1">
      <c r="A90" s="290"/>
    </row>
    <row r="91" spans="1:1">
      <c r="A91" s="290"/>
    </row>
    <row r="92" spans="1:1">
      <c r="A92" s="290"/>
    </row>
    <row r="93" spans="1:1">
      <c r="A93" s="290"/>
    </row>
    <row r="94" spans="1:1">
      <c r="A94" s="290"/>
    </row>
    <row r="95" spans="1:1">
      <c r="A95" s="290"/>
    </row>
    <row r="96" spans="1:1">
      <c r="A96" s="290"/>
    </row>
    <row r="97" spans="1:1">
      <c r="A97" s="290"/>
    </row>
    <row r="98" spans="1:1">
      <c r="A98" s="290"/>
    </row>
    <row r="99" spans="1:1">
      <c r="A99" s="290"/>
    </row>
    <row r="100" spans="1:1">
      <c r="A100" s="290"/>
    </row>
    <row r="101" spans="1:1">
      <c r="A101" s="290"/>
    </row>
    <row r="102" spans="1:1">
      <c r="A102" s="290"/>
    </row>
    <row r="103" spans="1:1">
      <c r="A103" s="290"/>
    </row>
    <row r="104" spans="1:1">
      <c r="A104" s="290"/>
    </row>
    <row r="105" spans="1:1">
      <c r="A105" s="290"/>
    </row>
    <row r="106" spans="1:1">
      <c r="A106" s="290"/>
    </row>
    <row r="107" spans="1:1">
      <c r="A107" s="290"/>
    </row>
    <row r="108" spans="1:1">
      <c r="A108" s="290"/>
    </row>
    <row r="109" spans="1:1">
      <c r="A109" s="290"/>
    </row>
    <row r="110" spans="1:1">
      <c r="A110" s="290"/>
    </row>
    <row r="111" spans="1:1">
      <c r="A111" s="290"/>
    </row>
    <row r="112" spans="1:1">
      <c r="A112" s="290"/>
    </row>
    <row r="113" spans="1:1">
      <c r="A113" s="290"/>
    </row>
    <row r="114" spans="1:1">
      <c r="A114" s="290"/>
    </row>
    <row r="115" spans="1:1">
      <c r="A115" s="290"/>
    </row>
    <row r="116" spans="1:1">
      <c r="A116" s="290"/>
    </row>
    <row r="117" spans="1:1">
      <c r="A117" s="290"/>
    </row>
    <row r="118" spans="1:1">
      <c r="A118" s="290"/>
    </row>
    <row r="119" spans="1:1">
      <c r="A119" s="290"/>
    </row>
    <row r="120" spans="1:1">
      <c r="A120" s="290"/>
    </row>
    <row r="121" spans="1:1">
      <c r="A121" s="290"/>
    </row>
    <row r="122" spans="1:1">
      <c r="A122" s="290"/>
    </row>
    <row r="123" spans="1:1">
      <c r="A123" s="290"/>
    </row>
    <row r="124" spans="1:1">
      <c r="A124" s="290"/>
    </row>
    <row r="125" spans="1:1">
      <c r="A125" s="290"/>
    </row>
    <row r="126" spans="1:1">
      <c r="A126" s="290"/>
    </row>
    <row r="127" spans="1:1">
      <c r="A127" s="290"/>
    </row>
    <row r="128" spans="1:1">
      <c r="A128" s="290"/>
    </row>
    <row r="129" spans="1:1">
      <c r="A129" s="290"/>
    </row>
    <row r="130" spans="1:1">
      <c r="A130" s="290"/>
    </row>
    <row r="131" spans="1:1">
      <c r="A131" s="290"/>
    </row>
    <row r="132" spans="1:1">
      <c r="A132" s="290"/>
    </row>
    <row r="133" spans="1:1">
      <c r="A133" s="290"/>
    </row>
    <row r="134" spans="1:1">
      <c r="A134" s="290"/>
    </row>
    <row r="135" spans="1:1">
      <c r="A135" s="290"/>
    </row>
    <row r="136" spans="1:1">
      <c r="A136" s="290"/>
    </row>
    <row r="137" spans="1:1">
      <c r="A137" s="290"/>
    </row>
    <row r="138" spans="1:1">
      <c r="A138" s="290"/>
    </row>
  </sheetData>
  <mergeCells count="16">
    <mergeCell ref="G37:J37"/>
    <mergeCell ref="A45:C45"/>
    <mergeCell ref="A46:C46"/>
    <mergeCell ref="A47:C47"/>
    <mergeCell ref="A48:C48"/>
    <mergeCell ref="A49:C49"/>
    <mergeCell ref="A51:C51"/>
    <mergeCell ref="A50:C50"/>
    <mergeCell ref="A37:C37"/>
    <mergeCell ref="A38:C38"/>
    <mergeCell ref="A39:C39"/>
    <mergeCell ref="A40:C40"/>
    <mergeCell ref="A41:C41"/>
    <mergeCell ref="A42:C42"/>
    <mergeCell ref="A43:C43"/>
    <mergeCell ref="A44:C44"/>
  </mergeCells>
  <pageMargins left="0.7" right="0.7" top="0.75" bottom="0.75" header="0.3" footer="0.3"/>
  <pageSetup orientation="portrait" horizontalDpi="300" verticalDpi="3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2"/>
  <dimension ref="A1:A51"/>
  <sheetViews>
    <sheetView zoomScale="170" zoomScaleNormal="170" workbookViewId="0"/>
  </sheetViews>
  <sheetFormatPr defaultColWidth="8.85546875" defaultRowHeight="15"/>
  <cols>
    <col min="1" max="1" width="95.28515625" customWidth="1"/>
  </cols>
  <sheetData>
    <row r="1" spans="1:1" ht="19.5" thickBot="1">
      <c r="A1" s="143" t="s">
        <v>198</v>
      </c>
    </row>
    <row r="2" spans="1:1" ht="60">
      <c r="A2" s="144" t="s">
        <v>199</v>
      </c>
    </row>
    <row r="3" spans="1:1" ht="60">
      <c r="A3" s="145" t="s">
        <v>200</v>
      </c>
    </row>
    <row r="4" spans="1:1" ht="75.75" thickBot="1">
      <c r="A4" s="146" t="s">
        <v>201</v>
      </c>
    </row>
    <row r="5" spans="1:1" ht="19.5" thickBot="1">
      <c r="A5" s="143" t="s">
        <v>202</v>
      </c>
    </row>
    <row r="6" spans="1:1">
      <c r="A6" s="147" t="s">
        <v>203</v>
      </c>
    </row>
    <row r="7" spans="1:1" ht="60">
      <c r="A7" s="148" t="s">
        <v>204</v>
      </c>
    </row>
    <row r="8" spans="1:1" ht="45">
      <c r="A8" s="148" t="s">
        <v>205</v>
      </c>
    </row>
    <row r="9" spans="1:1" ht="45">
      <c r="A9" s="148" t="s">
        <v>206</v>
      </c>
    </row>
    <row r="10" spans="1:1" ht="30">
      <c r="A10" s="148" t="s">
        <v>207</v>
      </c>
    </row>
    <row r="11" spans="1:1">
      <c r="A11" s="147" t="s">
        <v>208</v>
      </c>
    </row>
    <row r="12" spans="1:1" ht="45">
      <c r="A12" s="148" t="s">
        <v>209</v>
      </c>
    </row>
    <row r="13" spans="1:1" ht="30">
      <c r="A13" s="148" t="s">
        <v>285</v>
      </c>
    </row>
    <row r="14" spans="1:1" ht="30">
      <c r="A14" s="148" t="s">
        <v>210</v>
      </c>
    </row>
    <row r="15" spans="1:1" ht="45">
      <c r="A15" s="148" t="s">
        <v>211</v>
      </c>
    </row>
    <row r="16" spans="1:1" ht="30">
      <c r="A16" s="148" t="s">
        <v>212</v>
      </c>
    </row>
    <row r="17" spans="1:1" ht="30">
      <c r="A17" s="148" t="s">
        <v>213</v>
      </c>
    </row>
    <row r="18" spans="1:1">
      <c r="A18" s="148" t="s">
        <v>214</v>
      </c>
    </row>
    <row r="19" spans="1:1" ht="30">
      <c r="A19" s="148" t="s">
        <v>215</v>
      </c>
    </row>
    <row r="20" spans="1:1">
      <c r="A20" s="147" t="s">
        <v>216</v>
      </c>
    </row>
    <row r="21" spans="1:1" ht="45">
      <c r="A21" s="148" t="s">
        <v>217</v>
      </c>
    </row>
    <row r="22" spans="1:1" ht="30">
      <c r="A22" s="148" t="s">
        <v>218</v>
      </c>
    </row>
    <row r="23" spans="1:1" ht="45">
      <c r="A23" s="148" t="s">
        <v>219</v>
      </c>
    </row>
    <row r="24" spans="1:1" ht="45">
      <c r="A24" s="148" t="s">
        <v>220</v>
      </c>
    </row>
    <row r="25" spans="1:1">
      <c r="A25" s="147" t="s">
        <v>221</v>
      </c>
    </row>
    <row r="26" spans="1:1" ht="30">
      <c r="A26" s="148" t="s">
        <v>472</v>
      </c>
    </row>
    <row r="27" spans="1:1" ht="30">
      <c r="A27" s="148" t="s">
        <v>467</v>
      </c>
    </row>
    <row r="28" spans="1:1" ht="45">
      <c r="A28" s="148" t="s">
        <v>222</v>
      </c>
    </row>
    <row r="29" spans="1:1" ht="30">
      <c r="A29" s="148" t="s">
        <v>223</v>
      </c>
    </row>
    <row r="30" spans="1:1">
      <c r="A30" s="147" t="s">
        <v>224</v>
      </c>
    </row>
    <row r="31" spans="1:1" ht="45">
      <c r="A31" s="148" t="s">
        <v>225</v>
      </c>
    </row>
    <row r="32" spans="1:1">
      <c r="A32" s="148" t="s">
        <v>226</v>
      </c>
    </row>
    <row r="33" spans="1:1" ht="45">
      <c r="A33" s="148" t="s">
        <v>227</v>
      </c>
    </row>
    <row r="34" spans="1:1">
      <c r="A34" s="148" t="s">
        <v>228</v>
      </c>
    </row>
    <row r="35" spans="1:1">
      <c r="A35" s="148" t="s">
        <v>229</v>
      </c>
    </row>
    <row r="36" spans="1:1" ht="105">
      <c r="A36" s="148" t="s">
        <v>230</v>
      </c>
    </row>
    <row r="37" spans="1:1" ht="30">
      <c r="A37" s="148" t="s">
        <v>231</v>
      </c>
    </row>
    <row r="38" spans="1:1" ht="45">
      <c r="A38" s="148" t="s">
        <v>232</v>
      </c>
    </row>
    <row r="39" spans="1:1">
      <c r="A39" s="148" t="s">
        <v>233</v>
      </c>
    </row>
    <row r="40" spans="1:1" ht="45">
      <c r="A40" s="148" t="s">
        <v>234</v>
      </c>
    </row>
    <row r="41" spans="1:1" ht="45">
      <c r="A41" s="148" t="s">
        <v>235</v>
      </c>
    </row>
    <row r="42" spans="1:1" s="135" customFormat="1" ht="30">
      <c r="A42" s="148" t="s">
        <v>286</v>
      </c>
    </row>
    <row r="43" spans="1:1" ht="45">
      <c r="A43" s="148" t="s">
        <v>236</v>
      </c>
    </row>
    <row r="44" spans="1:1" s="135" customFormat="1" ht="45">
      <c r="A44" s="148" t="s">
        <v>287</v>
      </c>
    </row>
    <row r="45" spans="1:1" ht="30">
      <c r="A45" s="148" t="s">
        <v>237</v>
      </c>
    </row>
    <row r="46" spans="1:1" ht="30">
      <c r="A46" s="148" t="s">
        <v>238</v>
      </c>
    </row>
    <row r="47" spans="1:1" ht="45">
      <c r="A47" s="147" t="s">
        <v>239</v>
      </c>
    </row>
    <row r="48" spans="1:1" s="135" customFormat="1" ht="30">
      <c r="A48" s="148" t="s">
        <v>447</v>
      </c>
    </row>
    <row r="49" spans="1:1" s="135" customFormat="1" ht="75">
      <c r="A49" s="148" t="s">
        <v>288</v>
      </c>
    </row>
    <row r="50" spans="1:1" s="135" customFormat="1" ht="60">
      <c r="A50" s="148" t="s">
        <v>289</v>
      </c>
    </row>
    <row r="51" spans="1:1" ht="135">
      <c r="A51" s="148" t="s">
        <v>240</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sheetPr codeName="Sheet31"/>
  <dimension ref="A1:T18"/>
  <sheetViews>
    <sheetView topLeftCell="F10" workbookViewId="0">
      <selection activeCell="I17" sqref="I17"/>
    </sheetView>
  </sheetViews>
  <sheetFormatPr defaultColWidth="8.85546875" defaultRowHeight="15"/>
  <cols>
    <col min="2" max="2" width="8.7109375" customWidth="1"/>
    <col min="3" max="3" width="72" customWidth="1"/>
    <col min="4" max="4" width="8.85546875" style="135" customWidth="1"/>
    <col min="5" max="5" width="46.140625" style="135" customWidth="1"/>
    <col min="6" max="7" width="24" style="86" customWidth="1"/>
    <col min="8" max="8" width="17" style="86" customWidth="1"/>
    <col min="9" max="9" width="21" bestFit="1" customWidth="1"/>
    <col min="10" max="10" width="13.42578125" customWidth="1"/>
    <col min="11" max="11" width="13.42578125" style="135" customWidth="1"/>
    <col min="12" max="12" width="11.28515625" style="86" bestFit="1" customWidth="1"/>
    <col min="13" max="13" width="11.28515625" style="86" customWidth="1"/>
    <col min="15" max="15" width="47.28515625" style="86" customWidth="1"/>
    <col min="16" max="16" width="12.5703125" style="86" bestFit="1" customWidth="1"/>
    <col min="17" max="17" width="53.42578125" style="86" bestFit="1" customWidth="1"/>
    <col min="18" max="18" width="10.5703125" bestFit="1" customWidth="1"/>
    <col min="19" max="19" width="39.85546875" bestFit="1" customWidth="1"/>
    <col min="20" max="20" width="195.7109375" style="275" bestFit="1" customWidth="1"/>
  </cols>
  <sheetData>
    <row r="1" spans="1:20" s="135" customFormat="1">
      <c r="F1" s="263" t="s">
        <v>346</v>
      </c>
      <c r="G1" s="263"/>
      <c r="H1" s="281"/>
      <c r="I1" s="355" t="s">
        <v>79</v>
      </c>
      <c r="J1" s="355"/>
      <c r="K1" s="264"/>
      <c r="L1" s="356" t="s">
        <v>349</v>
      </c>
      <c r="M1" s="356"/>
      <c r="O1" s="357" t="s">
        <v>335</v>
      </c>
      <c r="P1" s="357"/>
      <c r="Q1" s="357"/>
      <c r="T1" s="280" t="s">
        <v>343</v>
      </c>
    </row>
    <row r="2" spans="1:20" ht="18.75">
      <c r="A2" s="353" t="s">
        <v>241</v>
      </c>
      <c r="B2" s="353"/>
      <c r="C2" t="s">
        <v>329</v>
      </c>
      <c r="D2" s="354" t="s">
        <v>330</v>
      </c>
      <c r="E2" s="354"/>
      <c r="F2" s="182"/>
      <c r="G2" s="182"/>
      <c r="H2" s="182"/>
      <c r="I2" t="s">
        <v>328</v>
      </c>
      <c r="J2" t="s">
        <v>331</v>
      </c>
      <c r="L2" s="86" t="s">
        <v>332</v>
      </c>
      <c r="P2" s="175"/>
      <c r="Q2" s="175"/>
      <c r="T2" s="274"/>
    </row>
    <row r="3" spans="1:20" ht="45">
      <c r="B3" s="163" t="s">
        <v>273</v>
      </c>
      <c r="C3" s="277" t="s">
        <v>293</v>
      </c>
      <c r="D3" s="163" t="s">
        <v>245</v>
      </c>
      <c r="E3" s="253" t="str">
        <f>T3</f>
        <v>Rented part of the warehouse to a new tenant and received $5400 for three months rent starting in June</v>
      </c>
      <c r="F3" s="173"/>
      <c r="G3" s="173"/>
      <c r="H3" s="173"/>
      <c r="I3" s="244">
        <v>3</v>
      </c>
      <c r="J3" s="245">
        <v>1800</v>
      </c>
      <c r="K3" s="245"/>
      <c r="L3" s="260">
        <f>I3*J3</f>
        <v>5400</v>
      </c>
      <c r="M3" s="252"/>
      <c r="O3" s="271" t="s">
        <v>333</v>
      </c>
      <c r="P3" s="272">
        <f>L3</f>
        <v>5400</v>
      </c>
      <c r="Q3" s="271" t="s">
        <v>334</v>
      </c>
      <c r="T3" s="273" t="str">
        <f>CONCATENATE(O3," $",P3," ",Q3)</f>
        <v>Rented part of the warehouse to a new tenant and received $5400 for three months rent starting in June</v>
      </c>
    </row>
    <row r="4" spans="1:20" s="86" customFormat="1">
      <c r="B4" s="237"/>
      <c r="C4" s="278" t="s">
        <v>344</v>
      </c>
      <c r="D4" s="237"/>
      <c r="E4" s="173"/>
      <c r="F4" s="173"/>
      <c r="G4" s="173"/>
      <c r="H4" s="173"/>
      <c r="J4" s="252"/>
      <c r="K4" s="252"/>
      <c r="L4" s="252"/>
      <c r="M4" s="252"/>
      <c r="P4" s="265"/>
      <c r="T4" s="275"/>
    </row>
    <row r="5" spans="1:20">
      <c r="B5" s="163"/>
      <c r="C5" s="164"/>
      <c r="D5" s="164"/>
      <c r="E5" s="175"/>
      <c r="F5" s="175" t="s">
        <v>336</v>
      </c>
      <c r="G5" s="175"/>
      <c r="H5" s="175"/>
      <c r="I5" t="s">
        <v>337</v>
      </c>
      <c r="L5" s="86" t="s">
        <v>326</v>
      </c>
      <c r="M5" s="86" t="s">
        <v>327</v>
      </c>
    </row>
    <row r="6" spans="1:20" ht="30">
      <c r="B6" s="163" t="s">
        <v>274</v>
      </c>
      <c r="C6" s="253" t="str">
        <f>T6</f>
        <v>The Company took a physical count of Office Supplies on June 30 and found the following to be on hand: Office Supplies -  $2465</v>
      </c>
      <c r="D6" s="10"/>
      <c r="E6" s="173"/>
      <c r="F6" s="259">
        <f>'General Ledger'!F57</f>
        <v>0</v>
      </c>
      <c r="G6" s="259"/>
      <c r="H6" s="282" t="s">
        <v>350</v>
      </c>
      <c r="I6" s="245">
        <v>2465</v>
      </c>
      <c r="L6" s="261">
        <f>IF(I6&gt;F6,I6-F6,0)</f>
        <v>2465</v>
      </c>
      <c r="M6" s="261">
        <f>IF(I6&lt;F6,F6-I6,0)</f>
        <v>0</v>
      </c>
      <c r="O6" s="271" t="s">
        <v>345</v>
      </c>
      <c r="P6" s="279">
        <f>I6</f>
        <v>2465</v>
      </c>
      <c r="Q6" s="271"/>
      <c r="T6" s="273" t="str">
        <f>CONCATENATE(O6," $",P6)</f>
        <v>The Company took a physical count of Office Supplies on June 30 and found the following to be on hand: Office Supplies -  $2465</v>
      </c>
    </row>
    <row r="7" spans="1:20">
      <c r="B7" s="163"/>
      <c r="C7" s="193"/>
      <c r="D7" s="193"/>
      <c r="E7" s="256"/>
      <c r="F7" s="256"/>
      <c r="G7" s="256"/>
      <c r="H7" s="256"/>
    </row>
    <row r="8" spans="1:20">
      <c r="B8" s="163"/>
      <c r="C8" s="164"/>
      <c r="D8" s="164"/>
      <c r="E8" s="175"/>
      <c r="F8" s="175" t="s">
        <v>338</v>
      </c>
      <c r="G8" s="175" t="s">
        <v>340</v>
      </c>
      <c r="H8" s="175"/>
      <c r="I8" s="86" t="s">
        <v>339</v>
      </c>
      <c r="L8" s="86" t="s">
        <v>326</v>
      </c>
      <c r="M8" s="86" t="s">
        <v>327</v>
      </c>
    </row>
    <row r="9" spans="1:20" ht="60">
      <c r="B9" s="194" t="s">
        <v>275</v>
      </c>
      <c r="C9" s="254" t="str">
        <f>T9</f>
        <v xml:space="preserve">AC Speed estimates bad debt expense on a monthly basis rather than waiting until year-end. The company uses the allowance method. Based on recent industry estimates, AC Speed estimates that the allowance account should be 2%  of accounts receivable. </v>
      </c>
      <c r="D9" s="170"/>
      <c r="E9" s="176"/>
      <c r="F9" s="269">
        <f>'General Ledger'!F21</f>
        <v>0</v>
      </c>
      <c r="G9" s="270">
        <f>'General Ledger'!G31</f>
        <v>0</v>
      </c>
      <c r="H9" s="268"/>
      <c r="I9" s="246">
        <v>0.02</v>
      </c>
      <c r="L9" s="261">
        <f>IF(F9*I9&gt;G9,0,-(F9*I9-G9))</f>
        <v>0</v>
      </c>
      <c r="M9" s="260">
        <f>IF(F9*I9&gt;G9,F9*I9-G9,0)</f>
        <v>0</v>
      </c>
      <c r="O9" s="271" t="s">
        <v>341</v>
      </c>
      <c r="P9" s="276" t="s">
        <v>450</v>
      </c>
      <c r="Q9" s="271" t="s">
        <v>342</v>
      </c>
      <c r="T9" s="273" t="str">
        <f>CONCATENATE(O9," ",P9," ",Q9)</f>
        <v xml:space="preserve">AC Speed estimates bad debt expense on a monthly basis rather than waiting until year-end. The company uses the allowance method. Based on recent industry estimates, AC Speed estimates that the allowance account should be 2%  of accounts receivable. </v>
      </c>
    </row>
    <row r="10" spans="1:20">
      <c r="B10" s="163"/>
      <c r="C10" s="164"/>
      <c r="D10" s="164"/>
      <c r="E10" s="266"/>
      <c r="F10" s="175" t="s">
        <v>347</v>
      </c>
      <c r="G10" s="175"/>
      <c r="H10" s="175"/>
      <c r="I10" t="s">
        <v>348</v>
      </c>
      <c r="L10" s="86" t="s">
        <v>326</v>
      </c>
      <c r="M10" s="86" t="s">
        <v>327</v>
      </c>
    </row>
    <row r="11" spans="1:20" ht="30">
      <c r="B11" s="163" t="s">
        <v>276</v>
      </c>
      <c r="C11" s="253" t="str">
        <f>T11</f>
        <v>The Company took a physical inventory count on June 30 and found the following inventory on hand: Merchandise Inventory -  $122221</v>
      </c>
      <c r="D11" s="10"/>
      <c r="E11" s="267"/>
      <c r="F11" s="259">
        <f>'General Ledger'!F49</f>
        <v>0</v>
      </c>
      <c r="G11" s="259"/>
      <c r="H11" s="258"/>
      <c r="I11" s="245">
        <v>122221</v>
      </c>
      <c r="L11" s="261">
        <f>F11-I11</f>
        <v>-122221</v>
      </c>
      <c r="M11" s="262"/>
      <c r="O11" s="271" t="s">
        <v>351</v>
      </c>
      <c r="P11" s="279">
        <f>I11</f>
        <v>122221</v>
      </c>
      <c r="Q11" s="271"/>
      <c r="T11" s="273" t="str">
        <f>CONCATENATE(O11," $",P11)</f>
        <v>The Company took a physical inventory count on June 30 and found the following inventory on hand: Merchandise Inventory -  $122221</v>
      </c>
    </row>
    <row r="12" spans="1:20">
      <c r="B12" s="163"/>
      <c r="C12" s="164"/>
      <c r="D12" s="164"/>
      <c r="E12" s="164"/>
      <c r="F12" s="175"/>
      <c r="G12" s="175"/>
      <c r="H12" s="175"/>
      <c r="I12" t="s">
        <v>352</v>
      </c>
      <c r="J12" t="s">
        <v>353</v>
      </c>
      <c r="M12" s="86" t="s">
        <v>327</v>
      </c>
    </row>
    <row r="13" spans="1:20" ht="30">
      <c r="B13" s="163" t="s">
        <v>277</v>
      </c>
      <c r="C13" s="253" t="str">
        <f>T13</f>
        <v xml:space="preserve">The Balance in the prepaid insurance account at the beginning of June represents  4 months of coverage. Record the amount of insurance for June. </v>
      </c>
      <c r="D13" s="10"/>
      <c r="E13" s="10"/>
      <c r="F13" s="173"/>
      <c r="G13" s="173"/>
      <c r="H13" s="173"/>
      <c r="I13" s="245">
        <v>14000</v>
      </c>
      <c r="J13" s="244">
        <v>4</v>
      </c>
      <c r="K13" s="244"/>
      <c r="M13" s="261">
        <f>I13/J13</f>
        <v>3500</v>
      </c>
      <c r="O13" s="271" t="s">
        <v>354</v>
      </c>
      <c r="P13" s="271">
        <f>J13</f>
        <v>4</v>
      </c>
      <c r="Q13" s="271" t="s">
        <v>355</v>
      </c>
      <c r="T13" s="273" t="str">
        <f>CONCATENATE(O13," ",P13," ",Q13)</f>
        <v xml:space="preserve">The Balance in the prepaid insurance account at the beginning of June represents  4 months of coverage. Record the amount of insurance for June. </v>
      </c>
    </row>
    <row r="14" spans="1:20">
      <c r="B14" s="163"/>
      <c r="C14" s="164"/>
      <c r="D14" s="164"/>
      <c r="E14" s="164"/>
      <c r="F14" s="175"/>
      <c r="G14" s="175"/>
      <c r="H14" s="175"/>
    </row>
    <row r="15" spans="1:20">
      <c r="B15" s="163" t="s">
        <v>278</v>
      </c>
      <c r="C15" s="255" t="s">
        <v>279</v>
      </c>
      <c r="D15" s="164"/>
      <c r="E15" s="164"/>
      <c r="G15" t="s">
        <v>357</v>
      </c>
      <c r="H15" s="175"/>
      <c r="I15" t="s">
        <v>356</v>
      </c>
      <c r="J15" s="135" t="s">
        <v>358</v>
      </c>
      <c r="L15" s="86" t="s">
        <v>361</v>
      </c>
    </row>
    <row r="16" spans="1:20" ht="45">
      <c r="B16" s="163"/>
      <c r="C16" s="285" t="str">
        <f>T16</f>
        <v>1. The furniture and equipment for the warehouse was purchased a few years ago for  10000. These assets have a 5-year life, an expected salvage value of 1000 and are depreciated using the straight-line method.</v>
      </c>
      <c r="D16" s="10"/>
      <c r="E16" s="10"/>
      <c r="F16" s="173" t="s">
        <v>359</v>
      </c>
      <c r="G16" s="283">
        <v>5</v>
      </c>
      <c r="H16" s="173"/>
      <c r="I16" s="284">
        <v>10000</v>
      </c>
      <c r="J16" s="245">
        <v>1000</v>
      </c>
      <c r="L16" s="260">
        <f>(I16-J16)/(G16*12)</f>
        <v>150</v>
      </c>
      <c r="O16" s="271" t="s">
        <v>362</v>
      </c>
      <c r="P16" s="287">
        <f>I16</f>
        <v>10000</v>
      </c>
      <c r="Q16" s="271" t="s">
        <v>364</v>
      </c>
      <c r="R16" s="279">
        <f>J16</f>
        <v>1000</v>
      </c>
      <c r="S16" s="271" t="s">
        <v>363</v>
      </c>
      <c r="T16" s="286" t="str">
        <f>CONCATENATE(O16," ",P16,Q16," ",R16," ",S16)</f>
        <v>1. The furniture and equipment for the warehouse was purchased a few years ago for  10000. These assets have a 5-year life, an expected salvage value of 1000 and are depreciated using the straight-line method.</v>
      </c>
    </row>
    <row r="17" spans="2:20" ht="45">
      <c r="B17" s="163"/>
      <c r="C17" s="285" t="str">
        <f>T17</f>
        <v xml:space="preserve">2. The furniture and equipment for the office was purchased last year for  8500. these assets have a 7 year life, an expected salvage value of 1500 and are depreicated using stright-line method. </v>
      </c>
      <c r="D17" s="10"/>
      <c r="E17" s="10"/>
      <c r="F17" s="173" t="s">
        <v>360</v>
      </c>
      <c r="G17" s="283">
        <v>7</v>
      </c>
      <c r="H17" s="173"/>
      <c r="I17" s="245">
        <v>8500</v>
      </c>
      <c r="J17" s="245">
        <v>1500</v>
      </c>
      <c r="K17" s="243"/>
      <c r="L17" s="260">
        <f>(I17-J17)/(G17*12)</f>
        <v>83.333333333333329</v>
      </c>
      <c r="O17" s="271" t="s">
        <v>365</v>
      </c>
      <c r="P17" s="279">
        <f>I17</f>
        <v>8500</v>
      </c>
      <c r="Q17" s="271" t="s">
        <v>366</v>
      </c>
      <c r="R17" s="279">
        <f>J17</f>
        <v>1500</v>
      </c>
      <c r="S17" s="271" t="s">
        <v>367</v>
      </c>
      <c r="T17" s="286" t="str">
        <f>CONCATENATE(O17," ",P17,Q17," ",R17," ",S17)</f>
        <v xml:space="preserve">2. The furniture and equipment for the office was purchased last year for  8500. these assets have a 7 year life, an expected salvage value of 1500 and are depreicated using stright-line method. </v>
      </c>
    </row>
    <row r="18" spans="2:20">
      <c r="B18" s="238"/>
      <c r="C18" s="239"/>
      <c r="D18" s="239"/>
      <c r="E18" s="239"/>
      <c r="F18" s="257"/>
      <c r="G18" s="257"/>
      <c r="H18" s="257"/>
    </row>
  </sheetData>
  <mergeCells count="5">
    <mergeCell ref="A2:B2"/>
    <mergeCell ref="D2:E2"/>
    <mergeCell ref="I1:J1"/>
    <mergeCell ref="L1:M1"/>
    <mergeCell ref="O1:Q1"/>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29"/>
  <dimension ref="A4:F106"/>
  <sheetViews>
    <sheetView topLeftCell="A88" workbookViewId="0">
      <selection activeCell="B70" sqref="B70"/>
    </sheetView>
  </sheetViews>
  <sheetFormatPr defaultColWidth="8.85546875" defaultRowHeight="15"/>
  <cols>
    <col min="1" max="1" width="11.42578125" style="301" customWidth="1"/>
    <col min="2" max="2" width="77.140625" style="301" customWidth="1"/>
    <col min="3" max="3" width="18.7109375" style="301" customWidth="1"/>
    <col min="4" max="4" width="16.7109375" style="301" customWidth="1"/>
    <col min="5" max="5" width="7.42578125" style="301" customWidth="1"/>
    <col min="6" max="6" width="9.28515625" style="301" customWidth="1"/>
    <col min="7" max="16384" width="8.85546875" style="301"/>
  </cols>
  <sheetData>
    <row r="4" spans="1:6" ht="18.75">
      <c r="A4" s="299" t="s">
        <v>272</v>
      </c>
      <c r="B4" s="300"/>
      <c r="C4" s="300"/>
    </row>
    <row r="5" spans="1:6" ht="9" customHeight="1">
      <c r="A5" s="299"/>
      <c r="B5" s="300"/>
      <c r="C5" s="300"/>
    </row>
    <row r="6" spans="1:6">
      <c r="A6" s="302" t="s">
        <v>242</v>
      </c>
      <c r="B6" s="289" t="str">
        <f>Data!AA2</f>
        <v>Signed a 3 year 7.5% , $200000 note payable with First Bank.</v>
      </c>
      <c r="C6" s="289"/>
      <c r="E6" s="303"/>
      <c r="F6" s="304"/>
    </row>
    <row r="7" spans="1:6" ht="9" customHeight="1">
      <c r="A7" s="302"/>
      <c r="B7" s="300"/>
      <c r="C7" s="300"/>
    </row>
    <row r="8" spans="1:6">
      <c r="A8" s="302" t="s">
        <v>242</v>
      </c>
      <c r="B8" s="300" t="str">
        <f>Data!AA3</f>
        <v xml:space="preserve">Purchased 3000 GPS units on credit from Navistar for $36 per unit. </v>
      </c>
      <c r="C8" s="300"/>
      <c r="D8" s="305"/>
      <c r="E8" s="306"/>
      <c r="F8" s="307"/>
    </row>
    <row r="9" spans="1:6" ht="9" customHeight="1">
      <c r="A9" s="302"/>
      <c r="B9" s="300"/>
      <c r="C9" s="300"/>
    </row>
    <row r="10" spans="1:6" ht="30">
      <c r="A10" s="302" t="s">
        <v>242</v>
      </c>
      <c r="B10" s="289" t="s">
        <v>290</v>
      </c>
      <c r="C10" s="289"/>
    </row>
    <row r="11" spans="1:6" ht="9" customHeight="1">
      <c r="A11" s="302"/>
      <c r="B11" s="300"/>
      <c r="C11" s="300"/>
    </row>
    <row r="12" spans="1:6">
      <c r="A12" s="302" t="s">
        <v>242</v>
      </c>
      <c r="B12" s="289" t="str">
        <f>Data!AA4</f>
        <v xml:space="preserve">Sold 2000 DVD players on account to Toyota for $76 per unit, Invoice #5555 </v>
      </c>
      <c r="C12" s="289"/>
    </row>
    <row r="13" spans="1:6" ht="9" customHeight="1">
      <c r="A13" s="302"/>
      <c r="B13" s="300"/>
      <c r="C13" s="300"/>
    </row>
    <row r="14" spans="1:6">
      <c r="A14" s="302" t="s">
        <v>243</v>
      </c>
      <c r="B14" s="289" t="str">
        <f>Data!AA6</f>
        <v xml:space="preserve">Sold 3500 GPS units on account to Kia for $53 per unit, Invoice #5556. </v>
      </c>
      <c r="C14" s="289"/>
    </row>
    <row r="15" spans="1:6" ht="9" customHeight="1">
      <c r="A15" s="302"/>
      <c r="B15" s="289"/>
      <c r="C15" s="289"/>
    </row>
    <row r="16" spans="1:6">
      <c r="A16" s="302" t="s">
        <v>243</v>
      </c>
      <c r="B16" s="289" t="str">
        <f>Data!AA5</f>
        <v xml:space="preserve">Purchased office supplies from Office Max on credit for $1200    </v>
      </c>
      <c r="C16" s="289"/>
    </row>
    <row r="17" spans="1:3" ht="9" customHeight="1">
      <c r="A17" s="302"/>
      <c r="B17" s="289"/>
      <c r="C17" s="289"/>
    </row>
    <row r="18" spans="1:3" ht="30">
      <c r="A18" s="302" t="s">
        <v>243</v>
      </c>
      <c r="B18" s="289" t="str">
        <f>Data!AA7</f>
        <v>Sold 900 docking stations for $64 per unit and 1950  GPS units for $83 per unit on account to Nissan, Invoice #5557.</v>
      </c>
      <c r="C18" s="289"/>
    </row>
    <row r="19" spans="1:3" ht="9" customHeight="1">
      <c r="A19" s="302"/>
      <c r="B19" s="289"/>
      <c r="C19" s="289"/>
    </row>
    <row r="20" spans="1:3" ht="30">
      <c r="A20" s="302" t="s">
        <v>244</v>
      </c>
      <c r="B20" s="289" t="s">
        <v>294</v>
      </c>
      <c r="C20" s="289"/>
    </row>
    <row r="21" spans="1:3" ht="9" customHeight="1">
      <c r="A21" s="302"/>
      <c r="B21" s="289"/>
      <c r="C21" s="289"/>
    </row>
    <row r="22" spans="1:3">
      <c r="A22" s="302" t="s">
        <v>245</v>
      </c>
      <c r="B22" s="289" t="str">
        <f>Data!AA9</f>
        <v xml:space="preserve">Received payment from Toyota for May 11th sale.        </v>
      </c>
      <c r="C22" s="289"/>
    </row>
    <row r="23" spans="1:3" ht="9" customHeight="1">
      <c r="A23" s="302"/>
      <c r="B23" s="289"/>
      <c r="C23" s="289"/>
    </row>
    <row r="24" spans="1:3" ht="30">
      <c r="A24" s="302" t="s">
        <v>245</v>
      </c>
      <c r="B24" s="289" t="str">
        <f>'Data - ADJ JE'!E3</f>
        <v>Rented part of the warehouse to a new tenant and received $5400 for three months rent starting in June</v>
      </c>
      <c r="C24" s="289"/>
    </row>
    <row r="25" spans="1:3" ht="9" customHeight="1">
      <c r="A25" s="302"/>
      <c r="B25" s="289"/>
      <c r="C25" s="289"/>
    </row>
    <row r="26" spans="1:3" ht="30">
      <c r="A26" s="302" t="s">
        <v>246</v>
      </c>
      <c r="B26" s="289" t="s">
        <v>296</v>
      </c>
      <c r="C26" s="289"/>
    </row>
    <row r="27" spans="1:3" ht="9" customHeight="1">
      <c r="A27" s="302"/>
      <c r="B27" s="289"/>
      <c r="C27" s="289"/>
    </row>
    <row r="28" spans="1:3" ht="30">
      <c r="A28" s="302" t="s">
        <v>247</v>
      </c>
      <c r="B28" s="289" t="str">
        <f>Data!AA10</f>
        <v xml:space="preserve">Received and paid expense reports for travel and entertainment totaling  $925 , Check #5279.      </v>
      </c>
      <c r="C28" s="289"/>
    </row>
    <row r="29" spans="1:3" ht="9" customHeight="1">
      <c r="A29" s="302"/>
      <c r="B29" s="289"/>
      <c r="C29" s="289"/>
    </row>
    <row r="30" spans="1:3">
      <c r="A30" s="302" t="s">
        <v>248</v>
      </c>
      <c r="B30" s="289" t="str">
        <f>Data!AA11</f>
        <v xml:space="preserve">Paid for office supplies purchased on June 2nd, Check #5280.        </v>
      </c>
      <c r="C30" s="289"/>
    </row>
    <row r="31" spans="1:3" ht="9" customHeight="1">
      <c r="A31" s="302"/>
      <c r="B31" s="289"/>
      <c r="C31" s="289"/>
    </row>
    <row r="32" spans="1:3">
      <c r="A32" s="302" t="s">
        <v>249</v>
      </c>
      <c r="B32" s="289" t="str">
        <f>Data!AA12</f>
        <v xml:space="preserve">Paid in full for the June 1 purchase from Navistar, Check #5281.        </v>
      </c>
      <c r="C32" s="289"/>
    </row>
    <row r="33" spans="1:3" ht="9" customHeight="1">
      <c r="A33" s="302"/>
      <c r="B33" s="289"/>
      <c r="C33" s="289"/>
    </row>
    <row r="34" spans="1:3" ht="30">
      <c r="A34" s="302" t="s">
        <v>249</v>
      </c>
      <c r="B34" s="289" t="str">
        <f>Data!AA13</f>
        <v xml:space="preserve">Received a bill from the law firm of Larry, Moe &amp; Curly for  $5400 , payable upon receipt, for bond consulting fees, Check #5282.      </v>
      </c>
      <c r="C34" s="289"/>
    </row>
    <row r="35" spans="1:3" ht="9" customHeight="1">
      <c r="A35" s="302"/>
      <c r="B35" s="289"/>
      <c r="C35" s="289"/>
    </row>
    <row r="36" spans="1:3">
      <c r="A36" s="302" t="s">
        <v>250</v>
      </c>
      <c r="B36" s="289" t="s">
        <v>265</v>
      </c>
      <c r="C36" s="289"/>
    </row>
    <row r="37" spans="1:3" ht="9" customHeight="1">
      <c r="A37" s="302"/>
      <c r="B37" s="289"/>
      <c r="C37" s="289"/>
    </row>
    <row r="38" spans="1:3" ht="30">
      <c r="A38" s="302" t="s">
        <v>251</v>
      </c>
      <c r="B38" s="289" t="str">
        <f>Data!AA14</f>
        <v xml:space="preserve">Took advantage of a special deal to purchase  3250 DVD players on account from JVC for  $48 per unit.    </v>
      </c>
      <c r="C38" s="289"/>
    </row>
    <row r="39" spans="1:3" ht="9" customHeight="1">
      <c r="A39" s="302"/>
      <c r="B39" s="289"/>
      <c r="C39" s="289"/>
    </row>
    <row r="40" spans="1:3">
      <c r="A40" s="302" t="s">
        <v>251</v>
      </c>
      <c r="B40" s="289" t="str">
        <f>Data!AA15</f>
        <v xml:space="preserve">Purchased 850 GPS units on credit from Magellan for $33 per unit.    </v>
      </c>
      <c r="C40" s="289"/>
    </row>
    <row r="41" spans="1:3" ht="9" customHeight="1">
      <c r="A41" s="302"/>
      <c r="B41" s="289"/>
      <c r="C41" s="289"/>
    </row>
    <row r="42" spans="1:3">
      <c r="A42" s="302" t="s">
        <v>252</v>
      </c>
      <c r="B42" s="289" t="str">
        <f>Data!AA18</f>
        <v xml:space="preserve">Sold 2000 DVD players on credit to Ford Motor Co. for  $89 per unit, Invoice 5558.     </v>
      </c>
      <c r="C42" s="289"/>
    </row>
    <row r="43" spans="1:3" ht="9" customHeight="1">
      <c r="A43" s="302"/>
      <c r="B43" s="289"/>
      <c r="C43" s="289"/>
    </row>
    <row r="44" spans="1:3" ht="30">
      <c r="A44" s="302" t="s">
        <v>252</v>
      </c>
      <c r="B44" s="289" t="str">
        <f>Data!AA16</f>
        <v xml:space="preserve">Check # 5284 was issued for payroll:  $14500 for salaried and $4750 for hourly employees    </v>
      </c>
      <c r="C44" s="289"/>
    </row>
    <row r="45" spans="1:3" ht="9" customHeight="1">
      <c r="A45" s="302"/>
      <c r="B45" s="289"/>
      <c r="C45" s="289"/>
    </row>
    <row r="46" spans="1:3">
      <c r="A46" s="302" t="s">
        <v>253</v>
      </c>
      <c r="B46" s="289" t="str">
        <f>Data!AA19</f>
        <v xml:space="preserve">Purchased  1800 docking stations on credit from Samsung for  $42 per unit.    </v>
      </c>
      <c r="C46" s="289"/>
    </row>
    <row r="47" spans="1:3" ht="9" customHeight="1">
      <c r="A47" s="302"/>
      <c r="B47" s="289"/>
      <c r="C47" s="289"/>
    </row>
    <row r="48" spans="1:3" ht="30">
      <c r="A48" s="302" t="s">
        <v>254</v>
      </c>
      <c r="B48" s="289" t="s">
        <v>448</v>
      </c>
      <c r="C48" s="289"/>
    </row>
    <row r="49" spans="1:3" ht="9" customHeight="1">
      <c r="A49" s="302"/>
      <c r="B49" s="289"/>
      <c r="C49" s="289"/>
    </row>
    <row r="50" spans="1:3">
      <c r="A50" s="302" t="s">
        <v>254</v>
      </c>
      <c r="B50" s="289" t="s">
        <v>266</v>
      </c>
      <c r="C50" s="289"/>
    </row>
    <row r="51" spans="1:3" ht="9" customHeight="1">
      <c r="A51" s="302"/>
      <c r="B51" s="289"/>
      <c r="C51" s="289"/>
    </row>
    <row r="52" spans="1:3">
      <c r="A52" s="302" t="s">
        <v>255</v>
      </c>
      <c r="B52" s="289" t="str">
        <f>Data!AA20</f>
        <v xml:space="preserve">Received  payment in full from Toyota for the June 1st sale.        </v>
      </c>
      <c r="C52" s="289"/>
    </row>
    <row r="53" spans="1:3" ht="9" customHeight="1">
      <c r="A53" s="302"/>
      <c r="B53" s="289"/>
      <c r="C53" s="289"/>
    </row>
    <row r="54" spans="1:3" ht="45">
      <c r="A54" s="302" t="s">
        <v>256</v>
      </c>
      <c r="B54" s="289" t="s">
        <v>268</v>
      </c>
      <c r="C54" s="289"/>
    </row>
    <row r="55" spans="1:3" ht="9" customHeight="1">
      <c r="A55" s="302"/>
      <c r="B55" s="289"/>
      <c r="C55" s="289"/>
    </row>
    <row r="56" spans="1:3" ht="30">
      <c r="A56" s="302" t="s">
        <v>256</v>
      </c>
      <c r="B56" s="289" t="s">
        <v>291</v>
      </c>
      <c r="C56" s="289"/>
    </row>
    <row r="57" spans="1:3" ht="9" customHeight="1">
      <c r="A57" s="302"/>
      <c r="B57" s="289"/>
      <c r="C57" s="289"/>
    </row>
    <row r="58" spans="1:3">
      <c r="A58" s="302" t="s">
        <v>257</v>
      </c>
      <c r="B58" s="289" t="str">
        <f>Data!AA21</f>
        <v xml:space="preserve">Sold  1650 docking stations on credit to Kia for 64.5 per unit, Invoice #5559.    </v>
      </c>
      <c r="C58" s="289"/>
    </row>
    <row r="59" spans="1:3" ht="9" customHeight="1">
      <c r="A59" s="302"/>
      <c r="B59" s="289"/>
      <c r="C59" s="289"/>
    </row>
    <row r="60" spans="1:3">
      <c r="A60" s="302" t="s">
        <v>258</v>
      </c>
      <c r="B60" s="289" t="str">
        <f>Data!AA22</f>
        <v xml:space="preserve">Paid $75000 of the $162500 owed to JVC from May 25, Check #5285.    </v>
      </c>
      <c r="C60" s="289"/>
    </row>
    <row r="61" spans="1:3" ht="9" customHeight="1">
      <c r="A61" s="302"/>
      <c r="B61" s="289"/>
      <c r="C61" s="289"/>
    </row>
    <row r="62" spans="1:3" ht="15" customHeight="1">
      <c r="A62" s="302" t="s">
        <v>258</v>
      </c>
      <c r="B62" s="308" t="str">
        <f>Data!AA23</f>
        <v xml:space="preserve">Received payment from Ford Motor Co. for $175000 of the $300000 owed from May 5.    </v>
      </c>
      <c r="C62" s="308"/>
    </row>
    <row r="63" spans="1:3" ht="9" customHeight="1">
      <c r="A63" s="302"/>
      <c r="B63" s="289"/>
      <c r="C63" s="289"/>
    </row>
    <row r="64" spans="1:3" ht="30">
      <c r="A64" s="302" t="s">
        <v>261</v>
      </c>
      <c r="B64" s="289" t="str">
        <f>Data!AA24</f>
        <v xml:space="preserve">Purchased a $100 international phone card for one of the sales representative's upcoming European business trip, Check #5286.      </v>
      </c>
      <c r="C64" s="289"/>
    </row>
    <row r="65" spans="1:3" ht="9" customHeight="1">
      <c r="A65" s="302"/>
      <c r="B65" s="289"/>
      <c r="C65" s="289"/>
    </row>
    <row r="66" spans="1:3">
      <c r="A66" s="302" t="s">
        <v>259</v>
      </c>
      <c r="B66" s="289" t="str">
        <f>Data!AA25</f>
        <v xml:space="preserve">Paid in full for the purchase from JVC on June 13, Check #5287        </v>
      </c>
      <c r="C66" s="289"/>
    </row>
    <row r="67" spans="1:3" ht="9" customHeight="1">
      <c r="A67" s="302"/>
      <c r="B67" s="289"/>
      <c r="C67" s="289"/>
    </row>
    <row r="68" spans="1:3">
      <c r="A68" s="302" t="s">
        <v>280</v>
      </c>
      <c r="B68" s="300" t="str">
        <f>Data!AA26</f>
        <v xml:space="preserve">Purchased 1250 docking station from Samsung for $41 per unit paying in cash, Check #5288    </v>
      </c>
      <c r="C68" s="300"/>
    </row>
    <row r="69" spans="1:3">
      <c r="A69" s="302"/>
      <c r="B69" s="300"/>
      <c r="C69" s="300"/>
    </row>
    <row r="70" spans="1:3">
      <c r="A70" s="302" t="s">
        <v>260</v>
      </c>
      <c r="B70" s="289" t="str">
        <f>Data!AA27</f>
        <v xml:space="preserve">Sold 1500 docking stations on credit to Honda for $61 per unit, Invoice 5560.    </v>
      </c>
      <c r="C70" s="289"/>
    </row>
    <row r="71" spans="1:3" ht="9" customHeight="1">
      <c r="A71" s="302"/>
      <c r="B71" s="289"/>
      <c r="C71" s="289"/>
    </row>
    <row r="72" spans="1:3" ht="30">
      <c r="A72" s="302" t="s">
        <v>260</v>
      </c>
      <c r="B72" s="289" t="str">
        <f>Data!AA28</f>
        <v xml:space="preserve">Hired and paid a consultant $75000 to devise a marketing plan. AC Speed's management felt this was necessary to develop brand awareness. Check #5289.      </v>
      </c>
      <c r="C72" s="289"/>
    </row>
    <row r="73" spans="1:3" ht="9" customHeight="1">
      <c r="A73" s="302"/>
      <c r="B73" s="289"/>
      <c r="C73" s="289"/>
    </row>
    <row r="74" spans="1:3" ht="30">
      <c r="A74" s="302" t="s">
        <v>262</v>
      </c>
      <c r="B74" s="289" t="str">
        <f>Data!AA29</f>
        <v xml:space="preserve">AC Speed is behind in its mortgage payments to Bank of America. Paid a total of $10000 ( $2000 principal and $8000 interest), Check #5290.   </v>
      </c>
      <c r="C74" s="289"/>
    </row>
    <row r="75" spans="1:3" ht="9" customHeight="1">
      <c r="A75" s="302"/>
      <c r="B75" s="289"/>
      <c r="C75" s="289"/>
    </row>
    <row r="76" spans="1:3">
      <c r="A76" s="302" t="s">
        <v>263</v>
      </c>
      <c r="B76" s="289" t="str">
        <f>Data!AA30</f>
        <v xml:space="preserve">Received payment in full from Honda for the June 27th transaction.        </v>
      </c>
      <c r="C76" s="289"/>
    </row>
    <row r="77" spans="1:3" ht="9" customHeight="1">
      <c r="A77" s="302"/>
      <c r="B77" s="289"/>
      <c r="C77" s="289"/>
    </row>
    <row r="78" spans="1:3">
      <c r="A78" s="302" t="s">
        <v>263</v>
      </c>
      <c r="B78" s="289" t="str">
        <f>Data!AA31</f>
        <v xml:space="preserve">Paid in full for the purchase from Magellan on May 31st, Check #5291.        </v>
      </c>
      <c r="C78" s="289"/>
    </row>
    <row r="79" spans="1:3" ht="9" customHeight="1">
      <c r="A79" s="302"/>
      <c r="B79" s="289"/>
      <c r="C79" s="289"/>
    </row>
    <row r="80" spans="1:3" ht="30">
      <c r="A80" s="302" t="s">
        <v>263</v>
      </c>
      <c r="B80" s="289" t="str">
        <f>Data!AA32</f>
        <v xml:space="preserve">Check # 5292 was issued for payroll:  $14500 for salaried and $4750 for hourly employees    </v>
      </c>
      <c r="C80" s="289"/>
    </row>
    <row r="81" spans="1:3" ht="9" customHeight="1">
      <c r="A81" s="302"/>
      <c r="B81" s="289"/>
      <c r="C81" s="289"/>
    </row>
    <row r="82" spans="1:3" ht="30">
      <c r="A82" s="302" t="s">
        <v>264</v>
      </c>
      <c r="B82" s="289" t="s">
        <v>292</v>
      </c>
      <c r="C82" s="289"/>
    </row>
    <row r="83" spans="1:3" ht="9" customHeight="1">
      <c r="A83" s="302"/>
      <c r="B83" s="289"/>
      <c r="C83" s="289"/>
    </row>
    <row r="84" spans="1:3">
      <c r="A84" s="302" t="s">
        <v>264</v>
      </c>
      <c r="B84" s="289" t="s">
        <v>449</v>
      </c>
      <c r="C84" s="289"/>
    </row>
    <row r="85" spans="1:3" ht="9" customHeight="1">
      <c r="A85" s="302"/>
      <c r="B85" s="300"/>
      <c r="C85" s="300"/>
    </row>
    <row r="86" spans="1:3">
      <c r="A86" s="302" t="s">
        <v>468</v>
      </c>
      <c r="B86" s="300"/>
      <c r="C86" s="300"/>
    </row>
    <row r="87" spans="1:3" ht="9" customHeight="1">
      <c r="A87" s="302"/>
      <c r="B87" s="300"/>
      <c r="C87" s="300"/>
    </row>
    <row r="88" spans="1:3">
      <c r="A88" s="302" t="s">
        <v>469</v>
      </c>
      <c r="B88" s="300"/>
      <c r="C88" s="300"/>
    </row>
    <row r="89" spans="1:3" ht="9" customHeight="1">
      <c r="A89" s="302"/>
      <c r="B89" s="300"/>
      <c r="C89" s="300"/>
    </row>
    <row r="90" spans="1:3" ht="18.75">
      <c r="A90" s="309" t="s">
        <v>241</v>
      </c>
      <c r="B90" s="300"/>
      <c r="C90" s="300"/>
    </row>
    <row r="91" spans="1:3" ht="9" customHeight="1">
      <c r="A91" s="302"/>
      <c r="B91" s="300"/>
      <c r="C91" s="300"/>
    </row>
    <row r="92" spans="1:3" ht="30">
      <c r="A92" s="302" t="s">
        <v>273</v>
      </c>
      <c r="B92" s="289" t="str">
        <f>'Data - ADJ JE'!C3</f>
        <v xml:space="preserve">AC Speed has earned one month of the prepaid rent received from their tenant at the beginning of June. </v>
      </c>
      <c r="C92" s="289"/>
    </row>
    <row r="93" spans="1:3" ht="9" customHeight="1">
      <c r="A93" s="302"/>
      <c r="B93" s="300"/>
      <c r="C93" s="300"/>
    </row>
    <row r="94" spans="1:3" ht="30">
      <c r="A94" s="302" t="s">
        <v>274</v>
      </c>
      <c r="B94" s="289" t="str">
        <f>'Data - ADJ JE'!C6</f>
        <v>The Company took a physical count of Office Supplies on June 30 and found the following to be on hand: Office Supplies -  $2465</v>
      </c>
      <c r="C94" s="289"/>
    </row>
    <row r="95" spans="1:3" ht="9" customHeight="1">
      <c r="A95" s="302"/>
      <c r="B95" s="300"/>
      <c r="C95" s="300"/>
    </row>
    <row r="96" spans="1:3" ht="60">
      <c r="A96" s="310" t="s">
        <v>275</v>
      </c>
      <c r="B96" s="308" t="str">
        <f>'Data - ADJ JE'!C9</f>
        <v xml:space="preserve">AC Speed estimates bad debt expense on a monthly basis rather than waiting until year-end. The company uses the allowance method. Based on recent industry estimates, AC Speed estimates that the allowance account should be 2%  of accounts receivable. </v>
      </c>
      <c r="C96" s="308"/>
    </row>
    <row r="97" spans="1:3" ht="9" customHeight="1">
      <c r="A97" s="302"/>
      <c r="B97" s="300"/>
      <c r="C97" s="300"/>
    </row>
    <row r="98" spans="1:3" ht="30">
      <c r="A98" s="302" t="s">
        <v>276</v>
      </c>
      <c r="B98" s="289" t="str">
        <f>'Data - ADJ JE'!C11</f>
        <v>The Company took a physical inventory count on June 30 and found the following inventory on hand: Merchandise Inventory -  $122221</v>
      </c>
      <c r="C98" s="289"/>
    </row>
    <row r="99" spans="1:3">
      <c r="A99" s="302"/>
      <c r="B99" s="311"/>
      <c r="C99" s="311"/>
    </row>
    <row r="100" spans="1:3" ht="9" customHeight="1">
      <c r="A100" s="302"/>
      <c r="B100" s="300"/>
      <c r="C100" s="300"/>
    </row>
    <row r="101" spans="1:3" ht="30">
      <c r="A101" s="302" t="s">
        <v>277</v>
      </c>
      <c r="B101" s="289" t="str">
        <f>'Data - ADJ JE'!C13</f>
        <v xml:space="preserve">The Balance in the prepaid insurance account at the beginning of June represents  4 months of coverage. Record the amount of insurance for June. </v>
      </c>
      <c r="C101" s="289"/>
    </row>
    <row r="102" spans="1:3" ht="9" customHeight="1">
      <c r="A102" s="302"/>
      <c r="B102" s="300"/>
      <c r="C102" s="300"/>
    </row>
    <row r="103" spans="1:3">
      <c r="A103" s="302" t="s">
        <v>278</v>
      </c>
      <c r="B103" s="300" t="s">
        <v>279</v>
      </c>
      <c r="C103" s="300"/>
    </row>
    <row r="104" spans="1:3" ht="45">
      <c r="A104" s="302"/>
      <c r="B104" s="312" t="str">
        <f>'Data - ADJ JE'!C16</f>
        <v>1. The furniture and equipment for the warehouse was purchased a few years ago for  10000. These assets have a 5-year life, an expected salvage value of 1000 and are depreciated using the straight-line method.</v>
      </c>
      <c r="C104" s="289"/>
    </row>
    <row r="105" spans="1:3" ht="45">
      <c r="A105" s="302"/>
      <c r="B105" s="312" t="str">
        <f>'Data - ADJ JE'!C17</f>
        <v xml:space="preserve">2. The furniture and equipment for the office was purchased last year for  8500. these assets have a 7 year life, an expected salvage value of 1500 and are depreicated using stright-line method. </v>
      </c>
      <c r="C105" s="289"/>
    </row>
    <row r="106" spans="1:3">
      <c r="B106" s="313"/>
      <c r="C106" s="313"/>
    </row>
  </sheetData>
  <sheetProtection selectLockedCells="1"/>
  <pageMargins left="0.7" right="0.7" top="0.75" bottom="0.75" header="0.3" footer="0.3"/>
  <pageSetup orientation="portrait" horizontalDpi="300" verticalDpi="30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4"/>
  <dimension ref="A1:B4"/>
  <sheetViews>
    <sheetView workbookViewId="0"/>
  </sheetViews>
  <sheetFormatPr defaultColWidth="8.85546875" defaultRowHeight="15"/>
  <cols>
    <col min="1" max="1" width="18" customWidth="1"/>
    <col min="2" max="2" width="64" customWidth="1"/>
  </cols>
  <sheetData>
    <row r="1" spans="1:2">
      <c r="A1" s="3" t="s">
        <v>140</v>
      </c>
      <c r="B1" s="3" t="s">
        <v>144</v>
      </c>
    </row>
    <row r="2" spans="1:2">
      <c r="A2" t="s">
        <v>141</v>
      </c>
      <c r="B2" t="s">
        <v>145</v>
      </c>
    </row>
    <row r="3" spans="1:2">
      <c r="A3" t="s">
        <v>142</v>
      </c>
      <c r="B3" t="s">
        <v>146</v>
      </c>
    </row>
    <row r="4" spans="1:2">
      <c r="A4" t="s">
        <v>143</v>
      </c>
      <c r="B4" t="s">
        <v>147</v>
      </c>
    </row>
  </sheetData>
  <sheetProtection password="D0DD"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5">
    <pageSetUpPr fitToPage="1"/>
  </sheetPr>
  <dimension ref="A1:B67"/>
  <sheetViews>
    <sheetView workbookViewId="0">
      <selection activeCell="B9" sqref="B9"/>
    </sheetView>
  </sheetViews>
  <sheetFormatPr defaultColWidth="8.85546875" defaultRowHeight="15"/>
  <cols>
    <col min="2" max="2" width="70.85546875" bestFit="1" customWidth="1"/>
  </cols>
  <sheetData>
    <row r="1" spans="1:2">
      <c r="A1" s="5" t="s">
        <v>103</v>
      </c>
      <c r="B1" s="5"/>
    </row>
    <row r="2" spans="1:2">
      <c r="A2" s="5" t="s">
        <v>66</v>
      </c>
      <c r="B2" s="5"/>
    </row>
    <row r="4" spans="1:2">
      <c r="A4" s="2" t="s">
        <v>7</v>
      </c>
    </row>
    <row r="5" spans="1:2">
      <c r="A5" s="2" t="s">
        <v>8</v>
      </c>
    </row>
    <row r="6" spans="1:2">
      <c r="A6" s="2" t="s">
        <v>9</v>
      </c>
    </row>
    <row r="7" spans="1:2" ht="9" customHeight="1">
      <c r="A7" s="2"/>
    </row>
    <row r="8" spans="1:2">
      <c r="A8" s="3" t="s">
        <v>0</v>
      </c>
      <c r="B8" s="3" t="s">
        <v>1</v>
      </c>
    </row>
    <row r="9" spans="1:2">
      <c r="A9" s="1">
        <v>100</v>
      </c>
      <c r="B9" t="s">
        <v>2</v>
      </c>
    </row>
    <row r="10" spans="1:2">
      <c r="A10" s="1">
        <v>102</v>
      </c>
      <c r="B10" t="s">
        <v>3</v>
      </c>
    </row>
    <row r="11" spans="1:2">
      <c r="A11" s="1">
        <v>103</v>
      </c>
      <c r="B11" t="s">
        <v>104</v>
      </c>
    </row>
    <row r="12" spans="1:2">
      <c r="A12" s="1">
        <v>104</v>
      </c>
      <c r="B12" t="s">
        <v>4</v>
      </c>
    </row>
    <row r="13" spans="1:2">
      <c r="A13" s="1">
        <v>105</v>
      </c>
      <c r="B13" t="s">
        <v>5</v>
      </c>
    </row>
    <row r="14" spans="1:2">
      <c r="A14" s="1">
        <v>106</v>
      </c>
      <c r="B14" t="s">
        <v>6</v>
      </c>
    </row>
    <row r="15" spans="1:2">
      <c r="A15" s="2" t="s">
        <v>10</v>
      </c>
    </row>
    <row r="16" spans="1:2">
      <c r="A16" s="1">
        <v>140</v>
      </c>
      <c r="B16" t="s">
        <v>11</v>
      </c>
    </row>
    <row r="17" spans="1:2">
      <c r="A17" s="1">
        <v>145</v>
      </c>
      <c r="B17" t="s">
        <v>165</v>
      </c>
    </row>
    <row r="18" spans="1:2">
      <c r="A18" s="1">
        <v>146</v>
      </c>
      <c r="B18" t="s">
        <v>166</v>
      </c>
    </row>
    <row r="19" spans="1:2">
      <c r="A19" s="1">
        <v>151</v>
      </c>
      <c r="B19" t="s">
        <v>105</v>
      </c>
    </row>
    <row r="20" spans="1:2">
      <c r="A20" s="1">
        <v>152</v>
      </c>
      <c r="B20" t="s">
        <v>167</v>
      </c>
    </row>
    <row r="21" spans="1:2">
      <c r="A21" s="1">
        <v>153</v>
      </c>
      <c r="B21" t="s">
        <v>33</v>
      </c>
    </row>
    <row r="22" spans="1:2">
      <c r="A22" s="1">
        <v>154</v>
      </c>
      <c r="B22" t="s">
        <v>168</v>
      </c>
    </row>
    <row r="23" spans="1:2">
      <c r="A23" s="2" t="s">
        <v>12</v>
      </c>
    </row>
    <row r="24" spans="1:2">
      <c r="A24" s="2" t="s">
        <v>13</v>
      </c>
    </row>
    <row r="25" spans="1:2" ht="9" customHeight="1">
      <c r="A25" s="2"/>
    </row>
    <row r="26" spans="1:2">
      <c r="A26" s="1">
        <v>201</v>
      </c>
      <c r="B26" t="s">
        <v>14</v>
      </c>
    </row>
    <row r="27" spans="1:2">
      <c r="A27" s="1">
        <v>202</v>
      </c>
      <c r="B27" t="s">
        <v>15</v>
      </c>
    </row>
    <row r="28" spans="1:2">
      <c r="A28" s="1">
        <v>203</v>
      </c>
      <c r="B28" t="s">
        <v>16</v>
      </c>
    </row>
    <row r="29" spans="1:2">
      <c r="A29" s="1">
        <v>204</v>
      </c>
      <c r="B29" t="s">
        <v>107</v>
      </c>
    </row>
    <row r="30" spans="1:2">
      <c r="A30" s="1">
        <v>205</v>
      </c>
      <c r="B30" t="s">
        <v>106</v>
      </c>
    </row>
    <row r="31" spans="1:2">
      <c r="A31" s="2" t="s">
        <v>17</v>
      </c>
    </row>
    <row r="32" spans="1:2">
      <c r="A32" s="1">
        <v>250</v>
      </c>
      <c r="B32" t="s">
        <v>18</v>
      </c>
    </row>
    <row r="33" spans="1:2">
      <c r="A33" s="1">
        <v>251</v>
      </c>
      <c r="B33" t="s">
        <v>108</v>
      </c>
    </row>
    <row r="34" spans="1:2">
      <c r="A34" s="1">
        <v>252</v>
      </c>
      <c r="B34" t="s">
        <v>109</v>
      </c>
    </row>
    <row r="35" spans="1:2">
      <c r="A35" s="2" t="s">
        <v>19</v>
      </c>
    </row>
    <row r="36" spans="1:2">
      <c r="A36" s="1">
        <v>300</v>
      </c>
      <c r="B36" s="135" t="s">
        <v>110</v>
      </c>
    </row>
    <row r="37" spans="1:2">
      <c r="A37" s="9">
        <v>301</v>
      </c>
      <c r="B37" s="135" t="s">
        <v>111</v>
      </c>
    </row>
    <row r="38" spans="1:2">
      <c r="A38" s="9">
        <v>330</v>
      </c>
      <c r="B38" s="135" t="s">
        <v>112</v>
      </c>
    </row>
    <row r="39" spans="1:2">
      <c r="A39" s="9">
        <v>340</v>
      </c>
      <c r="B39" t="s">
        <v>113</v>
      </c>
    </row>
    <row r="40" spans="1:2">
      <c r="A40" s="2" t="s">
        <v>20</v>
      </c>
    </row>
    <row r="41" spans="1:2">
      <c r="A41" s="2" t="s">
        <v>21</v>
      </c>
    </row>
    <row r="42" spans="1:2">
      <c r="A42" s="1">
        <v>500</v>
      </c>
      <c r="B42" t="s">
        <v>22</v>
      </c>
    </row>
    <row r="43" spans="1:2">
      <c r="A43" s="1">
        <v>510</v>
      </c>
      <c r="B43" t="s">
        <v>23</v>
      </c>
    </row>
    <row r="44" spans="1:2">
      <c r="A44" s="1">
        <v>511</v>
      </c>
      <c r="B44" t="s">
        <v>24</v>
      </c>
    </row>
    <row r="45" spans="1:2">
      <c r="A45" s="2" t="s">
        <v>25</v>
      </c>
    </row>
    <row r="46" spans="1:2">
      <c r="A46" s="1">
        <v>600</v>
      </c>
      <c r="B46" t="s">
        <v>26</v>
      </c>
    </row>
    <row r="47" spans="1:2">
      <c r="A47" s="2" t="s">
        <v>27</v>
      </c>
    </row>
    <row r="48" spans="1:2">
      <c r="A48" s="9">
        <v>700</v>
      </c>
      <c r="B48" t="s">
        <v>114</v>
      </c>
    </row>
    <row r="49" spans="1:2">
      <c r="A49" s="9">
        <v>701</v>
      </c>
      <c r="B49" t="s">
        <v>115</v>
      </c>
    </row>
    <row r="50" spans="1:2">
      <c r="A50" s="9">
        <v>702</v>
      </c>
      <c r="B50" t="s">
        <v>116</v>
      </c>
    </row>
    <row r="51" spans="1:2">
      <c r="A51" s="9">
        <v>703</v>
      </c>
      <c r="B51" t="s">
        <v>117</v>
      </c>
    </row>
    <row r="52" spans="1:2">
      <c r="A52" s="9">
        <v>704</v>
      </c>
      <c r="B52" t="s">
        <v>119</v>
      </c>
    </row>
    <row r="53" spans="1:2">
      <c r="A53" s="9">
        <v>705</v>
      </c>
      <c r="B53" t="s">
        <v>120</v>
      </c>
    </row>
    <row r="54" spans="1:2">
      <c r="A54" s="9">
        <v>706</v>
      </c>
      <c r="B54" t="s">
        <v>121</v>
      </c>
    </row>
    <row r="55" spans="1:2">
      <c r="A55" s="9">
        <v>707</v>
      </c>
      <c r="B55" t="s">
        <v>155</v>
      </c>
    </row>
    <row r="56" spans="1:2">
      <c r="A56" s="9">
        <v>708</v>
      </c>
      <c r="B56" t="s">
        <v>29</v>
      </c>
    </row>
    <row r="57" spans="1:2">
      <c r="A57" s="9">
        <v>709</v>
      </c>
      <c r="B57" t="s">
        <v>30</v>
      </c>
    </row>
    <row r="58" spans="1:2">
      <c r="A58" s="9">
        <v>710</v>
      </c>
      <c r="B58" t="s">
        <v>28</v>
      </c>
    </row>
    <row r="59" spans="1:2">
      <c r="A59" s="9">
        <v>711</v>
      </c>
      <c r="B59" t="s">
        <v>31</v>
      </c>
    </row>
    <row r="60" spans="1:2">
      <c r="A60" s="9">
        <v>712</v>
      </c>
      <c r="B60" t="s">
        <v>118</v>
      </c>
    </row>
    <row r="61" spans="1:2">
      <c r="A61" s="9">
        <v>713</v>
      </c>
      <c r="B61" t="s">
        <v>102</v>
      </c>
    </row>
    <row r="62" spans="1:2">
      <c r="A62" s="2" t="s">
        <v>122</v>
      </c>
    </row>
    <row r="63" spans="1:2">
      <c r="A63" s="9">
        <v>800</v>
      </c>
      <c r="B63" t="s">
        <v>123</v>
      </c>
    </row>
    <row r="64" spans="1:2">
      <c r="A64" s="2" t="s">
        <v>34</v>
      </c>
    </row>
    <row r="65" spans="1:2">
      <c r="A65" s="1">
        <v>900</v>
      </c>
      <c r="B65" t="s">
        <v>32</v>
      </c>
    </row>
    <row r="66" spans="1:2">
      <c r="A66" s="2" t="s">
        <v>173</v>
      </c>
    </row>
    <row r="67" spans="1:2">
      <c r="A67" s="1">
        <v>1000</v>
      </c>
      <c r="B67" t="s">
        <v>172</v>
      </c>
    </row>
  </sheetData>
  <sheetProtection password="D0DD" sheet="1" objects="1" scenarios="1"/>
  <pageMargins left="0.7" right="0.7" top="0.75" bottom="0.75" header="0.3" footer="0.3"/>
  <pageSetup scale="70"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6">
    <pageSetUpPr fitToPage="1"/>
  </sheetPr>
  <dimension ref="A1:B13"/>
  <sheetViews>
    <sheetView workbookViewId="0"/>
  </sheetViews>
  <sheetFormatPr defaultColWidth="8.85546875" defaultRowHeight="15"/>
  <cols>
    <col min="1" max="1" width="2.42578125" customWidth="1"/>
    <col min="2" max="2" width="53.140625" customWidth="1"/>
  </cols>
  <sheetData>
    <row r="1" spans="1:2">
      <c r="A1" s="5"/>
      <c r="B1" s="5" t="str">
        <f>'Chart of Accounts GL'!A1</f>
        <v>AC Speed Corporation</v>
      </c>
    </row>
    <row r="2" spans="1:2">
      <c r="A2" s="5" t="s">
        <v>130</v>
      </c>
      <c r="B2" s="5"/>
    </row>
    <row r="4" spans="1:2">
      <c r="A4" s="3"/>
      <c r="B4" s="3" t="s">
        <v>1</v>
      </c>
    </row>
    <row r="5" spans="1:2">
      <c r="A5" s="1"/>
      <c r="B5" t="s">
        <v>124</v>
      </c>
    </row>
    <row r="6" spans="1:2">
      <c r="A6" s="1"/>
      <c r="B6" t="s">
        <v>125</v>
      </c>
    </row>
    <row r="7" spans="1:2">
      <c r="A7" s="1"/>
      <c r="B7" t="s">
        <v>126</v>
      </c>
    </row>
    <row r="8" spans="1:2">
      <c r="A8" s="1"/>
      <c r="B8" t="s">
        <v>127</v>
      </c>
    </row>
    <row r="9" spans="1:2">
      <c r="A9" s="1"/>
      <c r="B9" t="s">
        <v>128</v>
      </c>
    </row>
    <row r="10" spans="1:2">
      <c r="A10" s="2"/>
      <c r="B10" t="s">
        <v>129</v>
      </c>
    </row>
    <row r="11" spans="1:2">
      <c r="A11" s="1"/>
    </row>
    <row r="12" spans="1:2">
      <c r="A12" s="1"/>
    </row>
    <row r="13" spans="1:2">
      <c r="A13" s="1"/>
    </row>
  </sheetData>
  <sheetProtection password="D0DD"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7">
    <pageSetUpPr fitToPage="1"/>
  </sheetPr>
  <dimension ref="A1:B14"/>
  <sheetViews>
    <sheetView workbookViewId="0"/>
  </sheetViews>
  <sheetFormatPr defaultColWidth="8.85546875" defaultRowHeight="15"/>
  <cols>
    <col min="1" max="1" width="2.42578125" customWidth="1"/>
    <col min="2" max="2" width="53.140625" customWidth="1"/>
  </cols>
  <sheetData>
    <row r="1" spans="1:2">
      <c r="A1" s="5" t="str">
        <f>'Chart of Accounts GL'!A1</f>
        <v>AC Speed Corporation</v>
      </c>
      <c r="B1" s="5"/>
    </row>
    <row r="2" spans="1:2">
      <c r="A2" s="5" t="s">
        <v>67</v>
      </c>
      <c r="B2" s="5"/>
    </row>
    <row r="4" spans="1:2">
      <c r="A4" s="3"/>
      <c r="B4" s="3" t="s">
        <v>1</v>
      </c>
    </row>
    <row r="5" spans="1:2">
      <c r="A5" s="1"/>
    </row>
    <row r="6" spans="1:2">
      <c r="A6" s="1"/>
      <c r="B6" t="s">
        <v>135</v>
      </c>
    </row>
    <row r="7" spans="1:2">
      <c r="A7" s="1"/>
      <c r="B7" t="s">
        <v>133</v>
      </c>
    </row>
    <row r="8" spans="1:2">
      <c r="A8" s="1"/>
      <c r="B8" t="s">
        <v>134</v>
      </c>
    </row>
    <row r="9" spans="1:2">
      <c r="A9" s="1"/>
      <c r="B9" t="s">
        <v>170</v>
      </c>
    </row>
    <row r="10" spans="1:2">
      <c r="A10" s="2"/>
      <c r="B10" t="s">
        <v>136</v>
      </c>
    </row>
    <row r="11" spans="1:2">
      <c r="A11" s="1"/>
      <c r="B11" t="s">
        <v>131</v>
      </c>
    </row>
    <row r="12" spans="1:2" s="135" customFormat="1">
      <c r="A12" s="1"/>
      <c r="B12" s="135" t="s">
        <v>169</v>
      </c>
    </row>
    <row r="13" spans="1:2">
      <c r="A13" s="1"/>
      <c r="B13" t="s">
        <v>132</v>
      </c>
    </row>
    <row r="14" spans="1:2">
      <c r="A14" s="1"/>
    </row>
  </sheetData>
  <sheetProtection password="D0DD"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8"/>
  <dimension ref="A1:F25"/>
  <sheetViews>
    <sheetView workbookViewId="0">
      <selection activeCell="D8" sqref="D8"/>
    </sheetView>
  </sheetViews>
  <sheetFormatPr defaultColWidth="8.85546875" defaultRowHeight="15"/>
  <cols>
    <col min="1" max="1" width="11.85546875" style="1" customWidth="1"/>
    <col min="2" max="2" width="8.85546875" style="1"/>
    <col min="3" max="3" width="31" customWidth="1"/>
    <col min="4" max="4" width="5.85546875" customWidth="1"/>
    <col min="5" max="6" width="15.85546875" customWidth="1"/>
  </cols>
  <sheetData>
    <row r="1" spans="1:6">
      <c r="A1" s="134" t="str">
        <f>'Chart of Accounts GL'!A1</f>
        <v>AC Speed Corporation</v>
      </c>
      <c r="C1" s="4"/>
      <c r="D1" s="4"/>
      <c r="E1" s="4"/>
      <c r="F1" s="4"/>
    </row>
    <row r="2" spans="1:6">
      <c r="A2" s="81" t="s">
        <v>41</v>
      </c>
      <c r="C2" s="4"/>
      <c r="D2" s="4"/>
      <c r="E2" s="4"/>
      <c r="F2" s="4"/>
    </row>
    <row r="4" spans="1:6" s="1" customFormat="1" ht="30">
      <c r="A4" s="6" t="s">
        <v>35</v>
      </c>
      <c r="B4" s="7" t="s">
        <v>36</v>
      </c>
      <c r="C4" s="6" t="s">
        <v>37</v>
      </c>
      <c r="D4" s="7" t="s">
        <v>38</v>
      </c>
      <c r="E4" s="7" t="s">
        <v>39</v>
      </c>
      <c r="F4" s="7" t="s">
        <v>40</v>
      </c>
    </row>
    <row r="5" spans="1:6" ht="30.75" customHeight="1">
      <c r="A5" s="82"/>
      <c r="B5" s="6"/>
      <c r="C5" s="8"/>
      <c r="D5" s="8"/>
      <c r="E5" s="36"/>
      <c r="F5" s="38"/>
    </row>
    <row r="6" spans="1:6" ht="30.75" customHeight="1">
      <c r="A6" s="82"/>
      <c r="B6" s="6"/>
      <c r="C6" s="8"/>
      <c r="D6" s="8"/>
      <c r="E6" s="36"/>
      <c r="F6" s="38"/>
    </row>
    <row r="7" spans="1:6" ht="30.75" customHeight="1">
      <c r="A7" s="171"/>
      <c r="B7" s="168"/>
      <c r="C7" s="166"/>
      <c r="D7" s="166"/>
      <c r="E7" s="167"/>
      <c r="F7" s="225"/>
    </row>
    <row r="8" spans="1:6" ht="30.75" customHeight="1">
      <c r="A8" s="82"/>
      <c r="B8" s="6"/>
      <c r="C8" s="8"/>
      <c r="D8" s="8"/>
      <c r="E8" s="227"/>
      <c r="F8" s="228"/>
    </row>
    <row r="9" spans="1:6" ht="30.75" customHeight="1">
      <c r="A9" s="82"/>
      <c r="B9" s="172"/>
      <c r="C9" s="8"/>
      <c r="D9" s="195"/>
      <c r="E9" s="167"/>
      <c r="F9" s="167"/>
    </row>
    <row r="10" spans="1:6" s="135" customFormat="1" ht="30.75" customHeight="1" thickBot="1">
      <c r="A10" s="82"/>
      <c r="B10" s="172"/>
      <c r="C10" s="8"/>
      <c r="D10" s="8"/>
      <c r="E10" s="224"/>
      <c r="F10" s="229"/>
    </row>
    <row r="11" spans="1:6" ht="30.75" customHeight="1" thickTop="1">
      <c r="A11" s="82"/>
      <c r="B11" s="6"/>
      <c r="C11" s="8"/>
      <c r="D11" s="8"/>
      <c r="E11" s="223"/>
      <c r="F11" s="226"/>
    </row>
    <row r="12" spans="1:6" ht="30.75" customHeight="1">
      <c r="A12" s="82"/>
      <c r="B12" s="6"/>
      <c r="C12" s="8"/>
      <c r="D12" s="8"/>
      <c r="E12" s="36"/>
      <c r="F12" s="8"/>
    </row>
    <row r="13" spans="1:6" ht="30.75" customHeight="1">
      <c r="A13" s="6"/>
      <c r="B13" s="6"/>
      <c r="C13" s="8"/>
      <c r="D13" s="8"/>
      <c r="E13" s="36"/>
      <c r="F13" s="8"/>
    </row>
    <row r="14" spans="1:6" ht="30.75" customHeight="1">
      <c r="A14" s="6"/>
      <c r="B14" s="6"/>
      <c r="C14" s="8"/>
      <c r="D14" s="8"/>
      <c r="E14" s="36"/>
      <c r="F14" s="36"/>
    </row>
    <row r="15" spans="1:6" ht="30.75" customHeight="1">
      <c r="A15" s="6"/>
      <c r="B15" s="6"/>
      <c r="C15" s="8"/>
      <c r="D15" s="8"/>
      <c r="E15" s="36"/>
      <c r="F15" s="8"/>
    </row>
    <row r="16" spans="1:6" ht="30.75" customHeight="1">
      <c r="A16" s="6"/>
      <c r="B16" s="6"/>
      <c r="C16" s="8"/>
      <c r="D16" s="8"/>
      <c r="E16" s="8"/>
      <c r="F16" s="8"/>
    </row>
    <row r="17" spans="1:6" ht="30.75" customHeight="1">
      <c r="A17" s="6"/>
      <c r="B17" s="6"/>
      <c r="C17" s="8"/>
      <c r="D17" s="8"/>
      <c r="E17" s="8"/>
      <c r="F17" s="8"/>
    </row>
    <row r="18" spans="1:6" ht="30.75" customHeight="1">
      <c r="A18" s="6"/>
      <c r="B18" s="6"/>
      <c r="C18" s="8"/>
      <c r="D18" s="8"/>
      <c r="E18" s="8"/>
      <c r="F18" s="8"/>
    </row>
    <row r="19" spans="1:6" ht="30.75" customHeight="1">
      <c r="A19" s="6"/>
      <c r="B19" s="6"/>
      <c r="C19" s="8"/>
      <c r="D19" s="8"/>
      <c r="E19" s="8"/>
      <c r="F19" s="8"/>
    </row>
    <row r="20" spans="1:6" ht="30.75" customHeight="1">
      <c r="A20" s="6"/>
      <c r="B20" s="6"/>
      <c r="C20" s="8"/>
      <c r="D20" s="8"/>
      <c r="E20" s="8"/>
      <c r="F20" s="8"/>
    </row>
    <row r="21" spans="1:6" ht="30.75" customHeight="1">
      <c r="A21" s="6"/>
      <c r="B21" s="6"/>
      <c r="C21" s="8"/>
      <c r="D21" s="8"/>
      <c r="E21" s="8"/>
      <c r="F21" s="8"/>
    </row>
    <row r="22" spans="1:6" ht="30.75" customHeight="1">
      <c r="A22" s="6"/>
      <c r="B22" s="6"/>
      <c r="C22" s="8"/>
      <c r="D22" s="8"/>
      <c r="E22" s="8"/>
      <c r="F22" s="8"/>
    </row>
    <row r="23" spans="1:6" ht="30.75" customHeight="1">
      <c r="A23" s="6"/>
      <c r="B23" s="6"/>
      <c r="C23" s="8"/>
      <c r="D23" s="8"/>
      <c r="E23" s="8"/>
      <c r="F23" s="8"/>
    </row>
    <row r="24" spans="1:6" ht="30.75" customHeight="1">
      <c r="A24" s="6"/>
      <c r="B24" s="6"/>
      <c r="C24" s="8"/>
      <c r="D24" s="8"/>
      <c r="E24" s="8"/>
      <c r="F24" s="8"/>
    </row>
    <row r="25" spans="1:6" ht="30.75" customHeight="1">
      <c r="A25" s="6"/>
      <c r="B25" s="6"/>
      <c r="C25" s="8"/>
      <c r="D25" s="8"/>
      <c r="E25" s="8"/>
      <c r="F25" s="8"/>
    </row>
  </sheetData>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documentManagement>
    <_SourceUrl xmlns="http://schemas.microsoft.com/sharepoint/v3" xsi:nil="true"/>
    <AutoVersionDisabled xmlns="http://schemas.microsoft.com/sharepoint/v3">false</AutoVersionDisabled>
    <ItemType xmlns="http://schemas.microsoft.com/sharepoint/v3">1</ItemType>
    <Order xmlns="http://schemas.microsoft.com/sharepoint/v3" xsi:nil="true"/>
    <_SharedFileIndex xmlns="http://schemas.microsoft.com/sharepoint/v3" xsi:nil="true"/>
    <MetaInfo xmlns="http://schemas.microsoft.com/sharepoint/v3" xsi:nil="true"/>
    <Description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_Docs_" ma:contentTypeID="0x00A8F877C52D4F3544BB2E511D24933C90" ma:contentTypeVersion="" ma:contentTypeDescription="" ma:contentTypeScope="" ma:versionID="32c2b1ba6fb4dea847d6d12e7b038048">
  <xsd:schema xmlns:xsd="http://www.w3.org/2001/XMLSchema" xmlns:p="http://schemas.microsoft.com/office/2006/metadata/properties" xmlns:ns1="http://schemas.microsoft.com/sharepoint/v3" targetNamespace="http://schemas.microsoft.com/office/2006/metadata/properties" ma:root="true" ma:fieldsID="3e5d9eca856144ce6ca1da655f95619c" ns1:_="">
    <xsd:import namespace="http://schemas.microsoft.com/sharepoint/v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CheckedOutUserId" minOccurs="0"/>
                <xsd:element ref="ns1:IsCheckedoutToLocal" minOccurs="0"/>
                <xsd:element ref="ns1:CheckoutUser" minOccurs="0"/>
                <xsd:element ref="ns1:Unique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AutoVersionDisabled" minOccurs="0"/>
                <xsd:element ref="ns1:ItemType" minOccurs="0"/>
                <xsd:element ref="ns1:Descript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D" ma:index="0" nillable="true" ma:displayName="ID" ma:internalName="ID" ma:readOnly="true">
      <xsd:simpleType>
        <xsd:restriction base="dms:Unknown"/>
      </xsd:simpleType>
    </xsd:element>
    <xsd:element name="ContentTypeId" ma:index="1" nillable="true" ma:displayName="Content Type ID" ma:hidden="true" ma:internalName="ContentTypeId" ma:readOnly="true">
      <xsd:simpleType>
        <xsd:restriction base="dms:Unknown"/>
      </xsd:simpleType>
    </xsd:element>
    <xsd:element name="Author" ma:index="4" nillable="true" ma:displayName="Created By"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Has Copy Destinations" ma:hidden="true" ma:internalName="_HasCopyDestinations" ma:readOnly="true">
      <xsd:simpleType>
        <xsd:restriction base="dms:Boolean"/>
      </xsd:simpleType>
    </xsd:element>
    <xsd:element name="_CopySource" ma:index="8" nillable="true" ma:displayName="Copy Source" ma:internalName="_CopySource" ma:readOnly="true">
      <xsd:simpleType>
        <xsd:restriction base="dms:Text"/>
      </xsd:simpleType>
    </xsd:element>
    <xsd:element name="_ModerationStatus" ma:index="9" nillable="true" ma:displayName="Approval Status" ma:default="0" ma:hidden="true" ma:internalName="_ModerationStatus" ma:readOnly="true">
      <xsd:simpleType>
        <xsd:restriction base="dms:Unknown"/>
      </xsd:simpleType>
    </xsd:element>
    <xsd:element name="_ModerationComments" ma:index="10" nillable="true" ma:displayName="Approver Comments" ma:hidden="true" ma:internalName="_ModerationComments" ma:readOnly="true">
      <xsd:simpleType>
        <xsd:restriction base="dms:Note"/>
      </xsd:simpleType>
    </xsd:element>
    <xsd:element name="FileRef" ma:index="11" nillable="true" ma:displayName="URL Path" ma:hidden="true" ma:list="Docs" ma:internalName="FileRef" ma:readOnly="true" ma:showField="FullUrl">
      <xsd:simpleType>
        <xsd:restriction base="dms:Lookup"/>
      </xsd:simpleType>
    </xsd:element>
    <xsd:element name="FileDirRef" ma:index="12" nillable="true" ma:displayName="Path" ma:hidden="true" ma:list="Docs" ma:internalName="FileDirRef" ma:readOnly="true" ma:showField="DirName">
      <xsd:simpleType>
        <xsd:restriction base="dms:Lookup"/>
      </xsd:simpleType>
    </xsd:element>
    <xsd:element name="Last_x0020_Modified" ma:index="13" nillable="true" ma:displayName="Modified" ma:format="TRUE" ma:hidden="true" ma:list="Docs" ma:internalName="Last_x0020_Modified" ma:readOnly="true" ma:showField="TimeLastModified">
      <xsd:simpleType>
        <xsd:restriction base="dms:Lookup"/>
      </xsd:simpleType>
    </xsd:element>
    <xsd:element name="Created_x0020_Date" ma:index="14" nillable="true" ma:displayName="Created" ma:format="TRUE" ma:hidden="true" ma:list="Docs" ma:internalName="Created_x0020_Date" ma:readOnly="true" ma:showField="TimeCreated">
      <xsd:simpleType>
        <xsd:restriction base="dms:Lookup"/>
      </xsd:simpleType>
    </xsd:element>
    <xsd:element name="File_x0020_Size" ma:index="15" nillable="true" ma:displayName="File Size" ma:format="TRUE" ma:hidden="true" ma:list="Docs" ma:internalName="File_x0020_Size" ma:readOnly="true" ma:showField="SizeInKB">
      <xsd:simpleType>
        <xsd:restriction base="dms:Lookup"/>
      </xsd:simpleType>
    </xsd:element>
    <xsd:element name="FSObjType" ma:index="16" nillable="true" ma:displayName="Item Type" ma:hidden="true" ma:list="Docs" ma:internalName="FSObjType" ma:readOnly="true" ma:showField="FSType">
      <xsd:simpleType>
        <xsd:restriction base="dms:Lookup"/>
      </xsd:simpleType>
    </xsd:element>
    <xsd:element name="CheckedOutUserId" ma:index="18" nillable="true" ma:displayName="ID of the User who has the item Checked Out" ma:hidden="true" ma:list="Docs" ma:internalName="CheckedOutUserId" ma:readOnly="true" ma:showField="CheckoutUserId">
      <xsd:simpleType>
        <xsd:restriction base="dms:Lookup"/>
      </xsd:simpleType>
    </xsd:element>
    <xsd:element name="IsCheckedoutToLocal" ma:index="19" nillable="true" ma:displayName="Is Checked out to local" ma:hidden="true" ma:list="Docs" ma:internalName="IsCheckedoutToLocal" ma:readOnly="true" ma:showField="IsCheckoutToLocal">
      <xsd:simpleType>
        <xsd:restriction base="dms:Lookup"/>
      </xsd:simpleType>
    </xsd:element>
    <xsd:element name="CheckoutUser" ma:index="20" nillable="true" ma:displayName="Checked Out T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2" nillable="true" ma:displayName="Unique Id" ma:hidden="true" ma:list="Docs" ma:internalName="UniqueId" ma:readOnly="true" ma:showField="UniqueId">
      <xsd:simpleType>
        <xsd:restriction base="dms:Lookup"/>
      </xsd:simpleType>
    </xsd:element>
    <xsd:element name="ProgId" ma:index="23" nillable="true" ma:displayName="ProgId" ma:hidden="true" ma:list="Docs" ma:internalName="ProgId" ma:readOnly="true" ma:showField="ProgId">
      <xsd:simpleType>
        <xsd:restriction base="dms:Lookup"/>
      </xsd:simpleType>
    </xsd:element>
    <xsd:element name="ScopeId" ma:index="24" nillable="true" ma:displayName="ScopeId" ma:hidden="true" ma:list="Docs" ma:internalName="ScopeId" ma:readOnly="true" ma:showField="ScopeId">
      <xsd:simpleType>
        <xsd:restriction base="dms:Lookup"/>
      </xsd:simpleType>
    </xsd:element>
    <xsd:element name="VirusStatus" ma:index="25" nillable="true" ma:displayName="Virus Status" ma:format="TRUE" ma:hidden="true" ma:list="Docs" ma:internalName="VirusStatus" ma:readOnly="true" ma:showField="Size">
      <xsd:simpleType>
        <xsd:restriction base="dms:Lookup"/>
      </xsd:simpleType>
    </xsd:element>
    <xsd:element name="CheckedOutTitle" ma:index="26" nillable="true" ma:displayName="Checked Out To" ma:format="TRUE" ma:hidden="true" ma:list="Docs" ma:internalName="CheckedOutTitle" ma:readOnly="true" ma:showField="CheckedOutTitle">
      <xsd:simpleType>
        <xsd:restriction base="dms:Lookup"/>
      </xsd:simpleType>
    </xsd:element>
    <xsd:element name="_CheckinComment" ma:index="27" nillable="true" ma:displayName="Check In Comment" ma:format="TRUE" ma:list="Docs" ma:internalName="_CheckinComment" ma:readOnly="true" ma:showField="CheckinComment">
      <xsd:simpleType>
        <xsd:restriction base="dms:Lookup"/>
      </xsd:simpleType>
    </xsd:element>
    <xsd:element name="File_x0020_Type" ma:index="31" nillable="true" ma:displayName="File Type" ma:hidden="true" ma:internalName="File_x0020_Type" ma:readOnly="true">
      <xsd:simpleType>
        <xsd:restriction base="dms:Text"/>
      </xsd:simpleType>
    </xsd:element>
    <xsd:element name="HTML_x0020_File_x0020_Type" ma:index="32" nillable="true" ma:displayName="HTML File Type" ma:hidden="true" ma:internalName="HTML_x0020_File_x0020_Type" ma:readOnly="true">
      <xsd:simpleType>
        <xsd:restriction base="dms:Text"/>
      </xsd:simpleType>
    </xsd:element>
    <xsd:element name="_SourceUrl" ma:index="33" nillable="true" ma:displayName="Source Url" ma:hidden="true" ma:internalName="_SourceUrl">
      <xsd:simpleType>
        <xsd:restriction base="dms:Text"/>
      </xsd:simpleType>
    </xsd:element>
    <xsd:element name="_SharedFileIndex" ma:index="34" nillable="true" ma:displayName="Shared File Index" ma:hidden="true" ma:internalName="_SharedFileIndex">
      <xsd:simpleType>
        <xsd:restriction base="dms:Text"/>
      </xsd:simpleType>
    </xsd:element>
    <xsd:element name="MetaInfo" ma:index="44" nillable="true" ma:displayName="Property Bag" ma:hidden="true" ma:list="Docs" ma:internalName="MetaInfo" ma:showField="MetaInfo">
      <xsd:simpleType>
        <xsd:restriction base="dms:Lookup"/>
      </xsd:simpleType>
    </xsd:element>
    <xsd:element name="_Level" ma:index="45" nillable="true" ma:displayName="Level" ma:hidden="true" ma:internalName="_Level" ma:readOnly="true">
      <xsd:simpleType>
        <xsd:restriction base="dms:Unknown"/>
      </xsd:simpleType>
    </xsd:element>
    <xsd:element name="_IsCurrentVersion" ma:index="46" nillable="true" ma:displayName="Is Current Version" ma:hidden="true" ma:internalName="_IsCurrentVersion" ma:readOnly="true">
      <xsd:simpleType>
        <xsd:restriction base="dms:Boolean"/>
      </xsd:simpleType>
    </xsd:element>
    <xsd:element name="owshiddenversion" ma:index="50" nillable="true" ma:displayName="owshiddenversion" ma:hidden="true" ma:internalName="owshiddenversion" ma:readOnly="true">
      <xsd:simpleType>
        <xsd:restriction base="dms:Unknown"/>
      </xsd:simpleType>
    </xsd:element>
    <xsd:element name="_UIVersion" ma:index="51" nillable="true" ma:displayName="UI Version" ma:hidden="true" ma:internalName="_UIVersion" ma:readOnly="true">
      <xsd:simpleType>
        <xsd:restriction base="dms:Unknown"/>
      </xsd:simpleType>
    </xsd:element>
    <xsd:element name="_UIVersionString" ma:index="52" nillable="true" ma:displayName="Version" ma:internalName="_UIVersionString" ma:readOnly="true">
      <xsd:simpleType>
        <xsd:restriction base="dms:Text"/>
      </xsd:simpleType>
    </xsd:element>
    <xsd:element name="InstanceID" ma:index="53" nillable="true" ma:displayName="Instance ID" ma:hidden="true" ma:internalName="InstanceID" ma:readOnly="true">
      <xsd:simpleType>
        <xsd:restriction base="dms:Unknown"/>
      </xsd:simpleType>
    </xsd:element>
    <xsd:element name="Order" ma:index="54" nillable="true" ma:displayName="Order" ma:hidden="true" ma:internalName="Order">
      <xsd:simpleType>
        <xsd:restriction base="dms:Number"/>
      </xsd:simpleType>
    </xsd:element>
    <xsd:element name="GUID" ma:index="55" nillable="true" ma:displayName="GUID" ma:hidden="true" ma:internalName="GUID" ma:readOnly="true">
      <xsd:simpleType>
        <xsd:restriction base="dms:Unknown"/>
      </xsd:simpleType>
    </xsd:element>
    <xsd:element name="WorkflowVersion" ma:index="56" nillable="true" ma:displayName="Workflow Version" ma:hidden="true" ma:internalName="WorkflowVersion" ma:readOnly="true">
      <xsd:simpleType>
        <xsd:restriction base="dms:Unknown"/>
      </xsd:simpleType>
    </xsd:element>
    <xsd:element name="WorkflowInstanceID" ma:index="57" nillable="true" ma:displayName="Workflow Instance ID" ma:hidden="true" ma:internalName="WorkflowInstanceID" ma:readOnly="true">
      <xsd:simpleType>
        <xsd:restriction base="dms:Unknown"/>
      </xsd:simpleType>
    </xsd:element>
    <xsd:element name="ParentVersionString" ma:index="58" nillable="true" ma:displayName="Source Version (Converted Document)" ma:hidden="true" ma:list="Docs" ma:internalName="ParentVersionString" ma:readOnly="true" ma:showField="ParentVersionString">
      <xsd:simpleType>
        <xsd:restriction base="dms:Lookup"/>
      </xsd:simpleType>
    </xsd:element>
    <xsd:element name="ParentLeafName" ma:index="59" nillable="true" ma:displayName="Source Name (Converted Document)" ma:hidden="true" ma:list="Docs" ma:internalName="ParentLeafName" ma:readOnly="true" ma:showField="ParentLeafName">
      <xsd:simpleType>
        <xsd:restriction base="dms:Lookup"/>
      </xsd:simpleType>
    </xsd:element>
    <xsd:element name="AutoVersionDisabled" ma:index="60" nillable="true" ma:displayName="AutoVersionDisabled" ma:default="FALSE" ma:hidden="true" ma:internalName="AutoVersionDisabled">
      <xsd:simpleType>
        <xsd:restriction base="dms:Boolean"/>
      </xsd:simpleType>
    </xsd:element>
    <xsd:element name="ItemType" ma:index="61" nillable="true" ma:displayName="ItemType" ma:default="1" ma:hidden="true" ma:internalName="ItemType">
      <xsd:simpleType>
        <xsd:restriction base="dms:Unknown"/>
      </xsd:simpleType>
    </xsd:element>
    <xsd:element name="Description" ma:index="62" nillable="true" ma:displayName="Description" ma:hidden="true" ma:internalName="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ma:readOnly="tru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6903739-140F-41A4-8AE3-812E8FAFA479}">
  <ds:schemaRefs>
    <ds:schemaRef ds:uri="http://purl.org/dc/dcmitype/"/>
    <ds:schemaRef ds:uri="http://schemas.microsoft.com/office/2006/documentManagement/types"/>
    <ds:schemaRef ds:uri="http://purl.org/dc/elements/1.1/"/>
    <ds:schemaRef ds:uri="http://www.w3.org/XML/1998/namespace"/>
    <ds:schemaRef ds:uri="http://schemas.microsoft.com/sharepoint/v3"/>
    <ds:schemaRef ds:uri="http://schemas.openxmlformats.org/package/2006/metadata/core-properties"/>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B727155E-7160-49CE-8777-7CD2EA7465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8</vt:i4>
      </vt:variant>
    </vt:vector>
  </HeadingPairs>
  <TitlesOfParts>
    <vt:vector size="37" baseType="lpstr">
      <vt:lpstr>Main Menu</vt:lpstr>
      <vt:lpstr>Instructions</vt:lpstr>
      <vt:lpstr>Transactions</vt:lpstr>
      <vt:lpstr>Products</vt:lpstr>
      <vt:lpstr>Chart of Accounts GL</vt:lpstr>
      <vt:lpstr>Chart of Accounts AR Ledger</vt:lpstr>
      <vt:lpstr>Chart of Accounts AP Ledger</vt:lpstr>
      <vt:lpstr>Sales Journal</vt:lpstr>
      <vt:lpstr>Purchases Journal</vt:lpstr>
      <vt:lpstr>Cash Receipts Journal</vt:lpstr>
      <vt:lpstr>Cash Payments Journal</vt:lpstr>
      <vt:lpstr>General Journal</vt:lpstr>
      <vt:lpstr>General Journal ADJ</vt:lpstr>
      <vt:lpstr>General Journal CLOSING</vt:lpstr>
      <vt:lpstr>General Ledger</vt:lpstr>
      <vt:lpstr>AR Ledger</vt:lpstr>
      <vt:lpstr>AP Ledger</vt:lpstr>
      <vt:lpstr>Worksheet June 2013</vt:lpstr>
      <vt:lpstr>IS June 2013</vt:lpstr>
      <vt:lpstr>Stmt RE June 2013</vt:lpstr>
      <vt:lpstr>BS June 2013</vt:lpstr>
      <vt:lpstr>Post Closing Trial Balance</vt:lpstr>
      <vt:lpstr>Adjusted Trial Balances</vt:lpstr>
      <vt:lpstr>IS Comparative</vt:lpstr>
      <vt:lpstr>BS Comparative</vt:lpstr>
      <vt:lpstr>Ratios Historical</vt:lpstr>
      <vt:lpstr>Inventory Control</vt:lpstr>
      <vt:lpstr>Data</vt:lpstr>
      <vt:lpstr>Data - ADJ JE</vt:lpstr>
      <vt:lpstr>MainMenu</vt:lpstr>
      <vt:lpstr>'Adjusted Trial Balances'!Print_Area</vt:lpstr>
      <vt:lpstr>'BS Comparative'!Print_Area</vt:lpstr>
      <vt:lpstr>'Inventory Control'!Print_Area</vt:lpstr>
      <vt:lpstr>'Ratios Historical'!Print_Area</vt:lpstr>
      <vt:lpstr>'Sales Journal'!Print_Area</vt:lpstr>
      <vt:lpstr>'Worksheet June 2013'!Print_Area</vt:lpstr>
      <vt:lpstr>Worksheet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Bergsma</dc:creator>
  <cp:lastModifiedBy>om</cp:lastModifiedBy>
  <cp:lastPrinted>2014-01-15T20:03:21Z</cp:lastPrinted>
  <dcterms:created xsi:type="dcterms:W3CDTF">2008-10-27T14:21:02Z</dcterms:created>
  <dcterms:modified xsi:type="dcterms:W3CDTF">2015-02-20T12:07:30Z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dDocumentEventProcessedId">
    <vt:lpwstr>bffeac75-34a8-4d03-ab59-7a6032027c4b</vt:lpwstr>
  </property>
  <property fmtid="{D5CDD505-2E9C-101B-9397-08002B2CF9AE}" pid="3" name="ContentTypeId">
    <vt:lpwstr>0x00A8F877C52D4F3544BB2E511D24933C90</vt:lpwstr>
  </property>
</Properties>
</file>